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0SF Calculator Tool" sheetId="1" r:id="rId4"/>
    <sheet state="visible" name="1000SF Office Tool" sheetId="2" r:id="rId5"/>
    <sheet state="visible" name="Sheet3" sheetId="3" r:id="rId6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BrianMGilligan:
</t>
      </text>
    </comment>
    <comment authorId="0" ref="C76">
      <text>
        <t xml:space="preserve">Need to vary
	-Michael Bloom - M1G</t>
      </text>
    </comment>
    <comment authorId="0" ref="B47">
      <text>
        <t xml:space="preserve">Nice to vary
	-Michael Bloom - M1G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BrianMGilligan:
</t>
      </text>
    </comment>
  </commentList>
</comments>
</file>

<file path=xl/sharedStrings.xml><?xml version="1.0" encoding="utf-8"?>
<sst xmlns="http://schemas.openxmlformats.org/spreadsheetml/2006/main" count="136" uniqueCount="44">
  <si>
    <t>Assumptions</t>
  </si>
  <si>
    <t>*Room as a single, well-mixed compartment (box model)</t>
  </si>
  <si>
    <t>*Steady state in inputs, equilibrium for outputs calculation</t>
  </si>
  <si>
    <t>*NTP conditions</t>
  </si>
  <si>
    <t>Assumed Supply Air CO2 conc</t>
  </si>
  <si>
    <t>ppm</t>
  </si>
  <si>
    <t>Avg CO2 emission rate / hour</t>
  </si>
  <si>
    <t>g/h per person</t>
  </si>
  <si>
    <t>Avg CO2 emission rate / min</t>
  </si>
  <si>
    <t>g/min</t>
  </si>
  <si>
    <t>Air -moles per m3</t>
  </si>
  <si>
    <t>At NTP</t>
  </si>
  <si>
    <t>m3 per ft3</t>
  </si>
  <si>
    <t>unit conv</t>
  </si>
  <si>
    <t>Air - moles per ft^3</t>
  </si>
  <si>
    <t>Design Occupancy (Medium Conference Room @ 40SF/Seat)</t>
  </si>
  <si>
    <t>Seats</t>
  </si>
  <si>
    <t>Area (SF)</t>
  </si>
  <si>
    <t>Conventional</t>
  </si>
  <si>
    <t>Enhanced</t>
  </si>
  <si>
    <t>Stringent*</t>
  </si>
  <si>
    <t>Personal Rate</t>
  </si>
  <si>
    <t>CFM/Seat</t>
  </si>
  <si>
    <t>* CA Title 24 is the greater of personal and area rates (vs. ASHRAE which is combined)</t>
  </si>
  <si>
    <t>Area Rate</t>
  </si>
  <si>
    <t>CFM/SF</t>
  </si>
  <si>
    <t>Ventilation Rate (Personal + Area)</t>
  </si>
  <si>
    <t>CFM min for 200SF space</t>
  </si>
  <si>
    <t>Vent Rate per person</t>
  </si>
  <si>
    <t>CFM /seat added</t>
  </si>
  <si>
    <t>Modeled indoor CO2 concentration</t>
  </si>
  <si>
    <t>g/cubic-feet</t>
  </si>
  <si>
    <t>Indoor CO2 -moles-CO2/ft^3-air</t>
  </si>
  <si>
    <t>Indoor CO2 increment - molesCO2/molesAir *10^6</t>
  </si>
  <si>
    <t>CO2 Limit @ Design Occupancy</t>
  </si>
  <si>
    <t>Actual Occupancy - What happens if you pack the room?</t>
  </si>
  <si>
    <t>Stringent</t>
  </si>
  <si>
    <t>Actual Occupancy</t>
  </si>
  <si>
    <t>PART 1 - Conf Room CFM at Varying Occupancy</t>
  </si>
  <si>
    <t>SF Room</t>
  </si>
  <si>
    <t>Design Occupancy</t>
  </si>
  <si>
    <t>PART 2 - Conf Room CO2 at Varying Design Occupancy</t>
  </si>
  <si>
    <t xml:space="preserve">*Stringent case stays constant once the ventilation rate is being scaled by occupancy, as the emissions are scaling by occupancy (so the two cancel out) </t>
  </si>
  <si>
    <t>PART 3 - Conf Room CO2 at Varying Actual Occupancy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</si>
</sst>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"/>
  </numFmts>
  <fonts count="11">
    <font>
      <sz val="12.0"/>
      <color theme="1"/>
      <name val="Arial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u/>
      <sz val="12.0"/>
      <color rgb="FF0000FF"/>
    </font>
    <font>
      <sz val="12.0"/>
      <color theme="10"/>
      <name val="Calibri"/>
    </font>
    <font>
      <b/>
      <sz val="14.0"/>
      <color theme="1"/>
      <name val="Calibri"/>
    </font>
    <font>
      <b/>
      <sz val="14.0"/>
      <color rgb="FF000000"/>
      <name val="Calibri"/>
    </font>
    <font>
      <b/>
      <sz val="12.0"/>
      <color rgb="FF000000"/>
      <name val="Calibri"/>
    </font>
    <font>
      <sz val="14.0"/>
      <color theme="1"/>
      <name val="Calibri"/>
    </font>
    <font>
      <color rgb="FFFF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  <xf borderId="0" fillId="0" fontId="2" numFmtId="0" xfId="0" applyAlignment="1" applyFont="1">
      <alignment vertical="center"/>
    </xf>
    <xf borderId="0" fillId="0" fontId="3" numFmtId="0" xfId="0" applyAlignment="1" applyFont="1">
      <alignment readingOrder="0" shrinkToFit="0" wrapText="1"/>
    </xf>
    <xf borderId="1" fillId="2" fontId="2" numFmtId="164" xfId="0" applyAlignment="1" applyBorder="1" applyFill="1" applyFont="1" applyNumberFormat="1">
      <alignment horizontal="right" shrinkToFit="0" wrapText="1"/>
    </xf>
    <xf borderId="1" fillId="3" fontId="2" numFmtId="164" xfId="0" applyAlignment="1" applyBorder="1" applyFill="1" applyFont="1" applyNumberFormat="1">
      <alignment horizontal="right" shrinkToFit="0" wrapText="1"/>
    </xf>
    <xf borderId="0" fillId="0" fontId="4" numFmtId="0" xfId="0" applyAlignment="1" applyFont="1">
      <alignment readingOrder="0" shrinkToFit="0" wrapText="1"/>
    </xf>
    <xf borderId="0" fillId="0" fontId="5" numFmtId="0" xfId="0" applyAlignment="1" applyFont="1">
      <alignment shrinkToFit="0" wrapText="1"/>
    </xf>
    <xf borderId="0" fillId="0" fontId="2" numFmtId="164" xfId="0" applyAlignment="1" applyFont="1" applyNumberFormat="1">
      <alignment horizontal="right" shrinkToFit="0" wrapText="1"/>
    </xf>
    <xf borderId="1" fillId="4" fontId="6" numFmtId="0" xfId="0" applyBorder="1" applyFill="1" applyFont="1"/>
    <xf borderId="1" fillId="4" fontId="1" numFmtId="0" xfId="0" applyAlignment="1" applyBorder="1" applyFont="1">
      <alignment horizontal="right"/>
    </xf>
    <xf borderId="1" fillId="4" fontId="1" numFmtId="0" xfId="0" applyBorder="1" applyFont="1"/>
    <xf borderId="1" fillId="4" fontId="1" numFmtId="0" xfId="0" applyAlignment="1" applyBorder="1" applyFont="1">
      <alignment shrinkToFit="0" wrapText="1"/>
    </xf>
    <xf borderId="1" fillId="0" fontId="7" numFmtId="0" xfId="0" applyAlignment="1" applyBorder="1" applyFont="1">
      <alignment readingOrder="0"/>
    </xf>
    <xf borderId="1" fillId="0" fontId="1" numFmtId="0" xfId="0" applyAlignment="1" applyBorder="1" applyFont="1">
      <alignment horizontal="right"/>
    </xf>
    <xf borderId="1" fillId="0" fontId="1" numFmtId="0" xfId="0" applyBorder="1" applyFont="1"/>
    <xf borderId="1" fillId="0" fontId="1" numFmtId="0" xfId="0" applyAlignment="1" applyBorder="1" applyFont="1">
      <alignment shrinkToFit="0" wrapText="1"/>
    </xf>
    <xf borderId="0" fillId="0" fontId="2" numFmtId="0" xfId="0" applyAlignment="1" applyFont="1">
      <alignment horizontal="right" shrinkToFit="0" wrapText="1"/>
    </xf>
    <xf borderId="0" fillId="0" fontId="3" numFmtId="0" xfId="0" applyAlignment="1" applyFont="1">
      <alignment horizontal="right" readingOrder="0" shrinkToFit="0" wrapText="1"/>
    </xf>
    <xf borderId="0" fillId="0" fontId="8" numFmtId="0" xfId="0" applyAlignment="1" applyFont="1">
      <alignment readingOrder="0" shrinkToFit="0" wrapText="1"/>
    </xf>
    <xf borderId="0" fillId="0" fontId="1" numFmtId="0" xfId="0" applyAlignment="1" applyFont="1">
      <alignment horizontal="center" shrinkToFit="0" wrapText="1"/>
    </xf>
    <xf borderId="0" fillId="0" fontId="8" numFmtId="0" xfId="0" applyAlignment="1" applyFont="1">
      <alignment horizontal="center" readingOrder="0" shrinkToFit="0" wrapText="1"/>
    </xf>
    <xf borderId="0" fillId="0" fontId="3" numFmtId="0" xfId="0" applyAlignment="1" applyFont="1">
      <alignment readingOrder="0" shrinkToFit="0" wrapText="0"/>
    </xf>
    <xf borderId="0" fillId="5" fontId="3" numFmtId="0" xfId="0" applyAlignment="1" applyFill="1" applyFont="1">
      <alignment horizontal="right" readingOrder="0" shrinkToFit="0" wrapText="1"/>
    </xf>
    <xf borderId="0" fillId="0" fontId="3" numFmtId="0" xfId="0" applyAlignment="1" applyFont="1">
      <alignment readingOrder="0"/>
    </xf>
    <xf borderId="0" fillId="0" fontId="2" numFmtId="2" xfId="0" applyAlignment="1" applyFont="1" applyNumberFormat="1">
      <alignment horizontal="right" shrinkToFit="0" wrapText="1"/>
    </xf>
    <xf borderId="0" fillId="0" fontId="3" numFmtId="2" xfId="0" applyFont="1" applyNumberFormat="1"/>
    <xf borderId="0" fillId="0" fontId="3" numFmtId="0" xfId="0" applyFont="1"/>
    <xf borderId="0" fillId="0" fontId="2" numFmtId="1" xfId="0" applyAlignment="1" applyFont="1" applyNumberFormat="1">
      <alignment horizontal="right" shrinkToFit="0" wrapText="1"/>
    </xf>
    <xf borderId="1" fillId="6" fontId="2" numFmtId="0" xfId="0" applyAlignment="1" applyBorder="1" applyFill="1" applyFont="1">
      <alignment shrinkToFit="0" wrapText="1"/>
    </xf>
    <xf borderId="1" fillId="6" fontId="2" numFmtId="1" xfId="0" applyAlignment="1" applyBorder="1" applyFont="1" applyNumberFormat="1">
      <alignment horizontal="right" shrinkToFit="0" wrapText="1"/>
    </xf>
    <xf borderId="1" fillId="7" fontId="2" numFmtId="1" xfId="0" applyAlignment="1" applyBorder="1" applyFill="1" applyFont="1" applyNumberFormat="1">
      <alignment horizontal="right" shrinkToFit="0" wrapText="1"/>
    </xf>
    <xf borderId="1" fillId="4" fontId="9" numFmtId="0" xfId="0" applyBorder="1" applyFont="1"/>
    <xf borderId="1" fillId="4" fontId="9" numFmtId="0" xfId="0" applyAlignment="1" applyBorder="1" applyFont="1">
      <alignment shrinkToFit="0" wrapText="1"/>
    </xf>
    <xf borderId="0" fillId="8" fontId="8" numFmtId="0" xfId="0" applyAlignment="1" applyFill="1" applyFont="1">
      <alignment horizontal="center" readingOrder="0" shrinkToFit="0" wrapText="1"/>
    </xf>
    <xf borderId="0" fillId="8" fontId="8" numFmtId="1" xfId="0" applyAlignment="1" applyFont="1" applyNumberFormat="1">
      <alignment readingOrder="0" shrinkToFit="0" wrapText="1"/>
    </xf>
    <xf borderId="0" fillId="8" fontId="3" numFmtId="1" xfId="0" applyAlignment="1" applyFont="1" applyNumberFormat="1">
      <alignment readingOrder="0" shrinkToFit="0" wrapText="1"/>
    </xf>
    <xf borderId="0" fillId="8" fontId="8" numFmtId="0" xfId="0" applyAlignment="1" applyFont="1">
      <alignment readingOrder="0" shrinkToFit="0" wrapText="1"/>
    </xf>
    <xf borderId="0" fillId="8" fontId="2" numFmtId="1" xfId="0" applyAlignment="1" applyFont="1" applyNumberFormat="1">
      <alignment shrinkToFit="0" wrapText="1"/>
    </xf>
    <xf borderId="0" fillId="5" fontId="3" numFmtId="0" xfId="0" applyAlignment="1" applyFont="1">
      <alignment readingOrder="0" shrinkToFit="0" wrapText="1"/>
    </xf>
    <xf borderId="0" fillId="5" fontId="2" numFmtId="0" xfId="0" applyAlignment="1" applyFont="1">
      <alignment shrinkToFit="0" wrapText="1"/>
    </xf>
    <xf borderId="0" fillId="8" fontId="3" numFmtId="0" xfId="0" applyAlignment="1" applyFont="1">
      <alignment horizontal="right" readingOrder="0" shrinkToFit="0" wrapText="1"/>
    </xf>
    <xf borderId="0" fillId="8" fontId="3" numFmtId="0" xfId="0" applyAlignment="1" applyFont="1">
      <alignment readingOrder="0"/>
    </xf>
    <xf borderId="0" fillId="0" fontId="3" numFmtId="1" xfId="0" applyAlignment="1" applyFont="1" applyNumberFormat="1">
      <alignment readingOrder="0" shrinkToFit="0" wrapText="1"/>
    </xf>
    <xf borderId="0" fillId="8" fontId="8" numFmtId="1" xfId="0" applyAlignment="1" applyFont="1" applyNumberFormat="1">
      <alignment horizontal="center" readingOrder="0" shrinkToFit="0" wrapText="1"/>
    </xf>
    <xf borderId="0" fillId="0" fontId="10" numFmtId="0" xfId="0" applyAlignment="1" applyFont="1">
      <alignment readingOrder="0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+mn-lt"/>
              </a:defRPr>
            </a:pPr>
            <a:r>
              <a:t>Ventilation Rates vs. Design Density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'200SF Calculator Tool'!$C$44:$C$46</c:f>
            </c:strRef>
          </c:tx>
          <c:spPr>
            <a:ln cmpd="sng"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'200SF Calculator Tool'!$B$47:$B$57</c:f>
            </c:strRef>
          </c:cat>
          <c:val>
            <c:numRef>
              <c:f>'200SF Calculator Tool'!$C$47:$C$57</c:f>
            </c:numRef>
          </c:val>
          <c:smooth val="0"/>
        </c:ser>
        <c:ser>
          <c:idx val="1"/>
          <c:order val="1"/>
          <c:tx>
            <c:strRef>
              <c:f>'200SF Calculator Tool'!$D$44:$D$46</c:f>
            </c:strRef>
          </c:tx>
          <c:spPr>
            <a:ln cmpd="sng"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'200SF Calculator Tool'!$B$47:$B$57</c:f>
            </c:strRef>
          </c:cat>
          <c:val>
            <c:numRef>
              <c:f>'200SF Calculator Tool'!$D$47:$D$57</c:f>
            </c:numRef>
          </c:val>
          <c:smooth val="0"/>
        </c:ser>
        <c:ser>
          <c:idx val="2"/>
          <c:order val="2"/>
          <c:tx>
            <c:strRef>
              <c:f>'200SF Calculator Tool'!$E$44:$E$46</c:f>
            </c:strRef>
          </c:tx>
          <c:spPr>
            <a:ln cmpd="sng"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'200SF Calculator Tool'!$B$47:$B$57</c:f>
            </c:strRef>
          </c:cat>
          <c:val>
            <c:numRef>
              <c:f>'200SF Calculator Tool'!$E$47:$E$57</c:f>
            </c:numRef>
          </c:val>
          <c:smooth val="0"/>
        </c:ser>
        <c:axId val="185359600"/>
        <c:axId val="682808381"/>
      </c:lineChart>
      <c:catAx>
        <c:axId val="185359600"/>
        <c:scaling>
          <c:orientation val="minMax"/>
          <c:max val="8.0"/>
        </c:scaling>
        <c:delete val="0"/>
        <c:axPos val="b"/>
        <c:title>
          <c:tx>
            <c:rich>
              <a:bodyPr/>
              <a:lstStyle/>
              <a:p>
                <a:pPr lvl="0">
                  <a:defRPr b="1" sz="1200">
                    <a:solidFill>
                      <a:srgbClr val="000000"/>
                    </a:solidFill>
                    <a:latin typeface="Arial"/>
                  </a:defRPr>
                </a:pPr>
                <a:r>
                  <a:t>Design Occupancy</a:t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sans-serif"/>
              </a:defRPr>
            </a:pPr>
          </a:p>
        </c:txPr>
        <c:crossAx val="682808381"/>
      </c:catAx>
      <c:valAx>
        <c:axId val="6828083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400">
                    <a:solidFill>
                      <a:srgbClr val="000000"/>
                    </a:solidFill>
                    <a:latin typeface="+mn-lt"/>
                  </a:defRPr>
                </a:pPr>
                <a:r>
                  <a:t>Ventilation Rate (CFM)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Arial"/>
              </a:defRPr>
            </a:pPr>
          </a:p>
        </c:txPr>
        <c:crossAx val="185359600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800">
                <a:solidFill>
                  <a:srgbClr val="757575"/>
                </a:solidFill>
                <a:latin typeface="+mn-lt"/>
              </a:defRPr>
            </a:pPr>
            <a:r>
              <a:t>Steady State CO2 vs. Design Occupancy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'200SF Calculator Tool'!$C$61</c:f>
            </c:strRef>
          </c:tx>
          <c:marker>
            <c:symbol val="none"/>
          </c:marker>
          <c:cat>
            <c:strRef>
              <c:f>'200SF Calculator Tool'!$B$62:$B$72</c:f>
            </c:strRef>
          </c:cat>
          <c:val>
            <c:numRef>
              <c:f>'200SF Calculator Tool'!$C$62:$C$72</c:f>
            </c:numRef>
          </c:val>
          <c:smooth val="0"/>
        </c:ser>
        <c:ser>
          <c:idx val="1"/>
          <c:order val="1"/>
          <c:tx>
            <c:strRef>
              <c:f>'200SF Calculator Tool'!$D$61</c:f>
            </c:strRef>
          </c:tx>
          <c:marker>
            <c:symbol val="none"/>
          </c:marker>
          <c:cat>
            <c:strRef>
              <c:f>'200SF Calculator Tool'!$B$62:$B$72</c:f>
            </c:strRef>
          </c:cat>
          <c:val>
            <c:numRef>
              <c:f>'200SF Calculator Tool'!$D$62:$D$72</c:f>
            </c:numRef>
          </c:val>
          <c:smooth val="0"/>
        </c:ser>
        <c:ser>
          <c:idx val="2"/>
          <c:order val="2"/>
          <c:tx>
            <c:strRef>
              <c:f>'200SF Calculator Tool'!$E$61</c:f>
            </c:strRef>
          </c:tx>
          <c:marker>
            <c:symbol val="none"/>
          </c:marker>
          <c:cat>
            <c:strRef>
              <c:f>'200SF Calculator Tool'!$B$62:$B$72</c:f>
            </c:strRef>
          </c:cat>
          <c:val>
            <c:numRef>
              <c:f>'200SF Calculator Tool'!$E$62:$E$72</c:f>
            </c:numRef>
          </c:val>
          <c:smooth val="0"/>
        </c:ser>
        <c:axId val="1006356415"/>
        <c:axId val="1960980917"/>
      </c:lineChart>
      <c:catAx>
        <c:axId val="1006356415"/>
        <c:scaling>
          <c:orientation val="minMax"/>
          <c:max val="8.0"/>
        </c:scaling>
        <c:delete val="0"/>
        <c:axPos val="b"/>
        <c:title>
          <c:tx>
            <c:rich>
              <a:bodyPr/>
              <a:lstStyle/>
              <a:p>
                <a:pPr lvl="0">
                  <a:defRPr b="1" sz="1400">
                    <a:solidFill>
                      <a:srgbClr val="000000"/>
                    </a:solidFill>
                    <a:latin typeface="+mn-lt"/>
                  </a:defRPr>
                </a:pPr>
                <a:r>
                  <a:t>Design Occupancy</a:t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+mn-lt"/>
              </a:defRPr>
            </a:pPr>
          </a:p>
        </c:txPr>
        <c:crossAx val="1960980917"/>
      </c:catAx>
      <c:valAx>
        <c:axId val="1960980917"/>
        <c:scaling>
          <c:orientation val="minMax"/>
          <c:max val="25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400">
                    <a:solidFill>
                      <a:srgbClr val="000000"/>
                    </a:solidFill>
                    <a:latin typeface="+mn-lt"/>
                  </a:defRPr>
                </a:pPr>
                <a:r>
                  <a:t>Steady State CO2 (ppm)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+mn-lt"/>
              </a:defRPr>
            </a:pPr>
          </a:p>
        </c:txPr>
        <c:crossAx val="1006356415"/>
      </c:valAx>
    </c:plotArea>
    <c:legend>
      <c:legendPos val="b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800">
                <a:solidFill>
                  <a:srgbClr val="757575"/>
                </a:solidFill>
                <a:latin typeface="+mn-lt"/>
              </a:defRPr>
            </a:pPr>
            <a:r>
              <a:t>Steady State CO2 vs. Actual Occupancy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'200SF Calculator Tool'!$C$74:$C$75</c:f>
            </c:strRef>
          </c:tx>
          <c:marker>
            <c:symbol val="none"/>
          </c:marker>
          <c:cat>
            <c:strRef>
              <c:f>'200SF Calculator Tool'!$B$76:$B$86</c:f>
            </c:strRef>
          </c:cat>
          <c:val>
            <c:numRef>
              <c:f>'200SF Calculator Tool'!$C$76:$C$86</c:f>
            </c:numRef>
          </c:val>
          <c:smooth val="0"/>
        </c:ser>
        <c:ser>
          <c:idx val="1"/>
          <c:order val="1"/>
          <c:tx>
            <c:strRef>
              <c:f>'200SF Calculator Tool'!$D$74:$D$75</c:f>
            </c:strRef>
          </c:tx>
          <c:marker>
            <c:symbol val="none"/>
          </c:marker>
          <c:cat>
            <c:strRef>
              <c:f>'200SF Calculator Tool'!$B$76:$B$86</c:f>
            </c:strRef>
          </c:cat>
          <c:val>
            <c:numRef>
              <c:f>'200SF Calculator Tool'!$D$76:$D$86</c:f>
            </c:numRef>
          </c:val>
          <c:smooth val="0"/>
        </c:ser>
        <c:ser>
          <c:idx val="2"/>
          <c:order val="2"/>
          <c:tx>
            <c:strRef>
              <c:f>'200SF Calculator Tool'!$E$74:$E$75</c:f>
            </c:strRef>
          </c:tx>
          <c:marker>
            <c:symbol val="none"/>
          </c:marker>
          <c:cat>
            <c:strRef>
              <c:f>'200SF Calculator Tool'!$B$76:$B$86</c:f>
            </c:strRef>
          </c:cat>
          <c:val>
            <c:numRef>
              <c:f>'200SF Calculator Tool'!$E$76:$E$86</c:f>
            </c:numRef>
          </c:val>
          <c:smooth val="0"/>
        </c:ser>
        <c:axId val="966919792"/>
        <c:axId val="1481510380"/>
      </c:lineChart>
      <c:catAx>
        <c:axId val="966919792"/>
        <c:scaling>
          <c:orientation val="minMax"/>
          <c:max val="8.0"/>
        </c:scaling>
        <c:delete val="0"/>
        <c:axPos val="b"/>
        <c:title>
          <c:tx>
            <c:rich>
              <a:bodyPr/>
              <a:lstStyle/>
              <a:p>
                <a:pPr lvl="0">
                  <a:defRPr b="1" sz="1400">
                    <a:solidFill>
                      <a:srgbClr val="000000"/>
                    </a:solidFill>
                    <a:latin typeface="+mn-lt"/>
                  </a:defRPr>
                </a:pPr>
                <a:r>
                  <a:t>Actual Occupancy</a:t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+mn-lt"/>
              </a:defRPr>
            </a:pPr>
          </a:p>
        </c:txPr>
        <c:crossAx val="1481510380"/>
      </c:catAx>
      <c:valAx>
        <c:axId val="1481510380"/>
        <c:scaling>
          <c:orientation val="minMax"/>
          <c:max val="25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400">
                    <a:solidFill>
                      <a:srgbClr val="000000"/>
                    </a:solidFill>
                    <a:latin typeface="+mn-lt"/>
                  </a:defRPr>
                </a:pPr>
                <a:r>
                  <a:t>Steady State CO2 (ppm)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+mn-lt"/>
              </a:defRPr>
            </a:pPr>
          </a:p>
        </c:txPr>
        <c:crossAx val="966919792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Total CFM vs. Design Occupancy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'1000SF Office Tool'!$C$44:$C$46</c:f>
            </c:strRef>
          </c:tx>
          <c:marker>
            <c:symbol val="none"/>
          </c:marker>
          <c:cat>
            <c:strRef>
              <c:f>'1000SF Office Tool'!$B$47:$B$57</c:f>
            </c:strRef>
          </c:cat>
          <c:val>
            <c:numRef>
              <c:f>'1000SF Office Tool'!$C$47:$C$57</c:f>
            </c:numRef>
          </c:val>
          <c:smooth val="0"/>
        </c:ser>
        <c:ser>
          <c:idx val="1"/>
          <c:order val="1"/>
          <c:tx>
            <c:strRef>
              <c:f>'1000SF Office Tool'!$D$44:$D$46</c:f>
            </c:strRef>
          </c:tx>
          <c:marker>
            <c:symbol val="none"/>
          </c:marker>
          <c:cat>
            <c:strRef>
              <c:f>'1000SF Office Tool'!$B$47:$B$57</c:f>
            </c:strRef>
          </c:cat>
          <c:val>
            <c:numRef>
              <c:f>'1000SF Office Tool'!$D$47:$D$57</c:f>
            </c:numRef>
          </c:val>
          <c:smooth val="0"/>
        </c:ser>
        <c:ser>
          <c:idx val="2"/>
          <c:order val="2"/>
          <c:tx>
            <c:strRef>
              <c:f>'1000SF Office Tool'!$E$44:$E$46</c:f>
            </c:strRef>
          </c:tx>
          <c:marker>
            <c:symbol val="none"/>
          </c:marker>
          <c:cat>
            <c:strRef>
              <c:f>'1000SF Office Tool'!$B$47:$B$57</c:f>
            </c:strRef>
          </c:cat>
          <c:val>
            <c:numRef>
              <c:f>'1000SF Office Tool'!$E$47:$E$57</c:f>
            </c:numRef>
          </c:val>
          <c:smooth val="0"/>
        </c:ser>
        <c:axId val="1392258461"/>
        <c:axId val="1879781628"/>
      </c:lineChart>
      <c:catAx>
        <c:axId val="13922584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Design Occupancy</a:t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79781628"/>
      </c:catAx>
      <c:valAx>
        <c:axId val="18797816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9225846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Steady State CO2 vs. Design Occupancy</a:t>
            </a:r>
          </a:p>
        </c:rich>
      </c:tx>
      <c:overlay val="0"/>
    </c:title>
    <c:plotArea>
      <c:layout>
        <c:manualLayout>
          <c:xMode val="edge"/>
          <c:yMode val="edge"/>
          <c:x val="0.20248714285548053"/>
          <c:y val="0.16860465116279083"/>
          <c:w val="0.748445029313942"/>
          <c:h val="0.6093294618712816"/>
        </c:manualLayout>
      </c:layout>
      <c:lineChart>
        <c:ser>
          <c:idx val="0"/>
          <c:order val="0"/>
          <c:tx>
            <c:strRef>
              <c:f>'1000SF Office Tool'!$C$61</c:f>
            </c:strRef>
          </c:tx>
          <c:marker>
            <c:symbol val="none"/>
          </c:marker>
          <c:cat>
            <c:strRef>
              <c:f>'1000SF Office Tool'!$B$62:$B$72</c:f>
            </c:strRef>
          </c:cat>
          <c:val>
            <c:numRef>
              <c:f>'1000SF Office Tool'!$C$62:$C$72</c:f>
            </c:numRef>
          </c:val>
          <c:smooth val="0"/>
        </c:ser>
        <c:ser>
          <c:idx val="1"/>
          <c:order val="1"/>
          <c:tx>
            <c:strRef>
              <c:f>'1000SF Office Tool'!$D$61</c:f>
            </c:strRef>
          </c:tx>
          <c:marker>
            <c:symbol val="none"/>
          </c:marker>
          <c:cat>
            <c:strRef>
              <c:f>'1000SF Office Tool'!$B$62:$B$72</c:f>
            </c:strRef>
          </c:cat>
          <c:val>
            <c:numRef>
              <c:f>'1000SF Office Tool'!$D$62:$D$72</c:f>
            </c:numRef>
          </c:val>
          <c:smooth val="0"/>
        </c:ser>
        <c:ser>
          <c:idx val="2"/>
          <c:order val="2"/>
          <c:tx>
            <c:strRef>
              <c:f>'1000SF Office Tool'!$E$61</c:f>
            </c:strRef>
          </c:tx>
          <c:marker>
            <c:symbol val="none"/>
          </c:marker>
          <c:cat>
            <c:strRef>
              <c:f>'1000SF Office Tool'!$B$62:$B$72</c:f>
            </c:strRef>
          </c:cat>
          <c:val>
            <c:numRef>
              <c:f>'1000SF Office Tool'!$E$62:$E$72</c:f>
            </c:numRef>
          </c:val>
          <c:smooth val="0"/>
        </c:ser>
        <c:axId val="1995379273"/>
        <c:axId val="603301509"/>
      </c:lineChart>
      <c:catAx>
        <c:axId val="1995379273"/>
        <c:scaling>
          <c:orientation val="minMax"/>
          <c:max val="14.0"/>
        </c:scaling>
        <c:delete val="0"/>
        <c:axPos val="b"/>
        <c:title>
          <c:tx>
            <c:rich>
              <a:bodyPr/>
              <a:lstStyle/>
              <a:p>
                <a:pPr lvl="0">
                  <a:defRPr b="1" sz="1400">
                    <a:solidFill>
                      <a:srgbClr val="000000"/>
                    </a:solidFill>
                    <a:latin typeface="+mn-lt"/>
                  </a:defRPr>
                </a:pPr>
                <a:r>
                  <a:t>Design Occupancy</a:t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+mn-lt"/>
              </a:defRPr>
            </a:pPr>
          </a:p>
        </c:txPr>
        <c:crossAx val="603301509"/>
      </c:catAx>
      <c:valAx>
        <c:axId val="603301509"/>
        <c:scaling>
          <c:orientation val="minMax"/>
          <c:max val="2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400">
                    <a:solidFill>
                      <a:srgbClr val="000000"/>
                    </a:solidFill>
                    <a:latin typeface="+mn-lt"/>
                  </a:defRPr>
                </a:pPr>
                <a:r>
                  <a:t>Steady State CO2 (ppm)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+mn-lt"/>
              </a:defRPr>
            </a:pPr>
          </a:p>
        </c:txPr>
        <c:crossAx val="1995379273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Steady State CO2 vs. Actual Occupancy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'1000SF Office Tool'!$C$74:$C$75</c:f>
            </c:strRef>
          </c:tx>
          <c:marker>
            <c:symbol val="none"/>
          </c:marker>
          <c:cat>
            <c:strRef>
              <c:f>'1000SF Office Tool'!$B$76:$B$86</c:f>
            </c:strRef>
          </c:cat>
          <c:val>
            <c:numRef>
              <c:f>'1000SF Office Tool'!$C$76:$C$86</c:f>
            </c:numRef>
          </c:val>
          <c:smooth val="0"/>
        </c:ser>
        <c:ser>
          <c:idx val="1"/>
          <c:order val="1"/>
          <c:tx>
            <c:strRef>
              <c:f>'1000SF Office Tool'!$D$74:$D$75</c:f>
            </c:strRef>
          </c:tx>
          <c:marker>
            <c:symbol val="none"/>
          </c:marker>
          <c:cat>
            <c:strRef>
              <c:f>'1000SF Office Tool'!$B$76:$B$86</c:f>
            </c:strRef>
          </c:cat>
          <c:val>
            <c:numRef>
              <c:f>'1000SF Office Tool'!$D$76:$D$86</c:f>
            </c:numRef>
          </c:val>
          <c:smooth val="0"/>
        </c:ser>
        <c:ser>
          <c:idx val="2"/>
          <c:order val="2"/>
          <c:tx>
            <c:strRef>
              <c:f>'1000SF Office Tool'!$E$74:$E$75</c:f>
            </c:strRef>
          </c:tx>
          <c:marker>
            <c:symbol val="none"/>
          </c:marker>
          <c:cat>
            <c:strRef>
              <c:f>'1000SF Office Tool'!$B$76:$B$86</c:f>
            </c:strRef>
          </c:cat>
          <c:val>
            <c:numRef>
              <c:f>'1000SF Office Tool'!$E$76:$E$86</c:f>
            </c:numRef>
          </c:val>
          <c:smooth val="0"/>
        </c:ser>
        <c:axId val="1460707689"/>
        <c:axId val="1874179896"/>
      </c:lineChart>
      <c:catAx>
        <c:axId val="1460707689"/>
        <c:scaling>
          <c:orientation val="minMax"/>
          <c:max val="14.0"/>
        </c:scaling>
        <c:delete val="0"/>
        <c:axPos val="b"/>
        <c:title>
          <c:tx>
            <c:rich>
              <a:bodyPr/>
              <a:lstStyle/>
              <a:p>
                <a:pPr lvl="0">
                  <a:defRPr b="1" sz="1400">
                    <a:solidFill>
                      <a:srgbClr val="000000"/>
                    </a:solidFill>
                    <a:latin typeface="+mn-lt"/>
                  </a:defRPr>
                </a:pPr>
                <a:r>
                  <a:t>Actual Occupancy</a:t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+mn-lt"/>
              </a:defRPr>
            </a:pPr>
          </a:p>
        </c:txPr>
        <c:crossAx val="1874179896"/>
      </c:catAx>
      <c:valAx>
        <c:axId val="1874179896"/>
        <c:scaling>
          <c:orientation val="minMax"/>
          <c:max val="20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sz="1400">
                    <a:solidFill>
                      <a:srgbClr val="000000"/>
                    </a:solidFill>
                    <a:latin typeface="+mn-lt"/>
                  </a:defRPr>
                </a:pPr>
                <a:r>
                  <a:t>Steady State CO2 (ppm)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+mn-lt"/>
              </a:defRPr>
            </a:pPr>
          </a:p>
        </c:txPr>
        <c:crossAx val="1460707689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123825</xdr:colOff>
      <xdr:row>43</xdr:row>
      <xdr:rowOff>9525</xdr:rowOff>
    </xdr:from>
    <xdr:ext cx="3114675" cy="27336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95250</xdr:colOff>
      <xdr:row>58</xdr:row>
      <xdr:rowOff>28575</xdr:rowOff>
    </xdr:from>
    <xdr:ext cx="3114675" cy="27336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5</xdr:col>
      <xdr:colOff>114300</xdr:colOff>
      <xdr:row>73</xdr:row>
      <xdr:rowOff>28575</xdr:rowOff>
    </xdr:from>
    <xdr:ext cx="3114675" cy="25146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123825</xdr:colOff>
      <xdr:row>43</xdr:row>
      <xdr:rowOff>9525</xdr:rowOff>
    </xdr:from>
    <xdr:ext cx="4457700" cy="275272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133350</xdr:colOff>
      <xdr:row>57</xdr:row>
      <xdr:rowOff>161925</xdr:rowOff>
    </xdr:from>
    <xdr:ext cx="3438525" cy="4095750"/>
    <xdr:graphicFrame>
      <xdr:nvGraphicFramePr>
        <xdr:cNvPr id="5" name="Chart 5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10</xdr:col>
      <xdr:colOff>57150</xdr:colOff>
      <xdr:row>57</xdr:row>
      <xdr:rowOff>171450</xdr:rowOff>
    </xdr:from>
    <xdr:ext cx="3438525" cy="4095750"/>
    <xdr:graphicFrame>
      <xdr:nvGraphicFramePr>
        <xdr:cNvPr id="6" name="Chart 6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6.56"/>
    <col customWidth="1" min="2" max="2" width="21.67"/>
    <col customWidth="1" min="3" max="3" width="12.78"/>
    <col customWidth="1" min="4" max="4" width="17.67"/>
    <col customWidth="1" min="5" max="5" width="12.78"/>
    <col customWidth="1" min="6" max="8" width="8.89"/>
    <col customWidth="1" min="9" max="9" width="10.33"/>
    <col customWidth="1" min="10" max="13" width="8.89"/>
    <col customWidth="1" min="14" max="14" width="12.11"/>
    <col customWidth="1" min="15" max="15" width="8.89"/>
    <col customWidth="1" min="16" max="26" width="8.56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1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A3" s="4" t="s">
        <v>1</v>
      </c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4" t="s">
        <v>2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2" t="s">
        <v>3</v>
      </c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0" customHeight="1">
      <c r="A6" s="2"/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0" customHeight="1">
      <c r="A7" s="5" t="s">
        <v>4</v>
      </c>
      <c r="B7" s="6">
        <v>400.0</v>
      </c>
      <c r="C7" s="2" t="s">
        <v>5</v>
      </c>
      <c r="D7" s="2"/>
      <c r="E7" s="2"/>
      <c r="F7" s="2"/>
      <c r="G7" s="2"/>
      <c r="H7" s="2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2" t="s">
        <v>6</v>
      </c>
      <c r="B8" s="7">
        <v>30.0</v>
      </c>
      <c r="C8" s="3" t="s">
        <v>7</v>
      </c>
      <c r="D8" s="8" t="str">
        <f>HYPERLINK("https://docs.google.com/spreadsheets/d/1KcjR-iBMXpZ-QPBVB-cEhmVCz-rwn-OS/edit#gid=1240605668","Link to Calculator")</f>
        <v>Link to Calculator</v>
      </c>
      <c r="E8" s="9"/>
      <c r="F8" s="4"/>
      <c r="G8" s="3"/>
      <c r="H8" s="3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2" t="s">
        <v>8</v>
      </c>
      <c r="B9" s="10">
        <f>+B8/60</f>
        <v>0.5</v>
      </c>
      <c r="C9" s="2" t="s">
        <v>9</v>
      </c>
      <c r="D9" s="2"/>
      <c r="E9" s="2"/>
      <c r="F9" s="2"/>
      <c r="G9" s="2"/>
      <c r="H9" s="2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2" t="s">
        <v>10</v>
      </c>
      <c r="B10" s="10">
        <v>41.6</v>
      </c>
      <c r="C10" s="2" t="s">
        <v>11</v>
      </c>
      <c r="D10" s="2"/>
      <c r="E10" s="2"/>
      <c r="F10" s="2"/>
      <c r="G10" s="2"/>
      <c r="H10" s="2"/>
      <c r="I10" s="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2" t="s">
        <v>12</v>
      </c>
      <c r="B11" s="10">
        <f>(0.3048)^3</f>
        <v>0.02831684659</v>
      </c>
      <c r="C11" s="2" t="s">
        <v>13</v>
      </c>
      <c r="D11" s="2"/>
      <c r="E11" s="2"/>
      <c r="F11" s="2"/>
      <c r="G11" s="2"/>
      <c r="H11" s="2"/>
      <c r="I11" s="2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2" t="s">
        <v>14</v>
      </c>
      <c r="B12" s="10">
        <f>+B10*B11</f>
        <v>1.177980818</v>
      </c>
      <c r="C12" s="2"/>
      <c r="D12" s="2"/>
      <c r="E12" s="2"/>
      <c r="F12" s="2"/>
      <c r="G12" s="2"/>
      <c r="H12" s="2"/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2"/>
      <c r="B13" s="10"/>
      <c r="C13" s="2"/>
      <c r="D13" s="2"/>
      <c r="E13" s="2"/>
      <c r="F13" s="2"/>
      <c r="G13" s="2"/>
      <c r="H13" s="2"/>
      <c r="I13" s="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11" t="s">
        <v>15</v>
      </c>
      <c r="B14" s="12"/>
      <c r="C14" s="13"/>
      <c r="D14" s="14"/>
      <c r="E14" s="14"/>
      <c r="F14" s="2"/>
      <c r="G14" s="15"/>
      <c r="H14" s="16"/>
      <c r="I14" s="17"/>
      <c r="J14" s="18"/>
      <c r="K14" s="18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2"/>
      <c r="B15" s="19"/>
      <c r="C15" s="2"/>
      <c r="D15" s="2"/>
      <c r="E15" s="2"/>
      <c r="F15" s="2"/>
      <c r="G15" s="2"/>
      <c r="H15" s="2"/>
      <c r="I15" s="2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3" t="s">
        <v>16</v>
      </c>
      <c r="B16" s="25">
        <v>5.0</v>
      </c>
      <c r="C16" s="2"/>
      <c r="D16" s="2"/>
      <c r="E16" s="2"/>
      <c r="F16" s="2"/>
      <c r="G16" s="21"/>
      <c r="H16" s="21"/>
      <c r="I16" s="2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3" t="s">
        <v>17</v>
      </c>
      <c r="B17" s="25">
        <v>200.0</v>
      </c>
      <c r="C17" s="2"/>
      <c r="D17" s="2"/>
      <c r="E17" s="2"/>
      <c r="F17" s="2"/>
      <c r="G17" s="5"/>
      <c r="H17" s="2"/>
      <c r="I17" s="2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0" customHeight="1">
      <c r="A18" s="2"/>
      <c r="B18" s="19"/>
      <c r="C18" s="2"/>
      <c r="D18" s="2"/>
      <c r="E18" s="2"/>
      <c r="F18" s="2"/>
      <c r="G18" s="5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0" customHeight="1">
      <c r="A19" s="3"/>
      <c r="B19" s="2"/>
      <c r="C19" s="22" t="s">
        <v>18</v>
      </c>
      <c r="D19" s="22" t="s">
        <v>19</v>
      </c>
      <c r="E19" s="23" t="s">
        <v>20</v>
      </c>
      <c r="F19" s="2"/>
      <c r="G19" s="5"/>
      <c r="H19" s="2"/>
      <c r="I19" s="2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4" t="s">
        <v>21</v>
      </c>
      <c r="B20" s="2" t="s">
        <v>22</v>
      </c>
      <c r="C20" s="19">
        <v>5.0</v>
      </c>
      <c r="D20" s="20">
        <v>6.5</v>
      </c>
      <c r="E20" s="19">
        <v>15.0</v>
      </c>
      <c r="F20" s="24" t="s">
        <v>23</v>
      </c>
      <c r="G20" s="5"/>
      <c r="H20" s="2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0" customHeight="1">
      <c r="A21" s="4" t="s">
        <v>24</v>
      </c>
      <c r="B21" s="2" t="s">
        <v>25</v>
      </c>
      <c r="C21" s="19">
        <v>0.06</v>
      </c>
      <c r="D21" s="20">
        <v>0.078</v>
      </c>
      <c r="E21" s="19">
        <v>0.15</v>
      </c>
      <c r="F21" s="2"/>
      <c r="G21" s="5"/>
      <c r="H21" s="2"/>
      <c r="I21" s="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0" customHeight="1">
      <c r="A22" s="26"/>
      <c r="B22" s="2"/>
      <c r="C22" s="2"/>
      <c r="D22" s="2"/>
      <c r="E22" s="2"/>
      <c r="F22" s="2"/>
      <c r="G22" s="5"/>
      <c r="H22" s="2"/>
      <c r="I22" s="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26" t="s">
        <v>26</v>
      </c>
      <c r="B23" s="5" t="s">
        <v>22</v>
      </c>
      <c r="C23" s="27">
        <f t="shared" ref="C23:D23" si="1">((C$20)+(C$21*($B$17/$B$16)))</f>
        <v>7.4</v>
      </c>
      <c r="D23" s="27">
        <f t="shared" si="1"/>
        <v>9.62</v>
      </c>
      <c r="E23" s="28">
        <f>MAX((E$20),(E$21*($B$17/$B$16)))</f>
        <v>15</v>
      </c>
      <c r="F23" s="2"/>
      <c r="G23" s="5"/>
      <c r="H23" s="2"/>
      <c r="I23" s="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5" t="s">
        <v>24</v>
      </c>
      <c r="B24" s="26" t="s">
        <v>27</v>
      </c>
      <c r="C24" s="29">
        <f>C21*B17</f>
        <v>12</v>
      </c>
      <c r="D24" s="2"/>
      <c r="E24" s="2"/>
      <c r="F24" s="2"/>
      <c r="G24" s="5"/>
      <c r="H24" s="2"/>
      <c r="I24" s="2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5" t="s">
        <v>28</v>
      </c>
      <c r="B25" s="5" t="s">
        <v>29</v>
      </c>
      <c r="C25" s="29">
        <f>C20</f>
        <v>5</v>
      </c>
      <c r="D25" s="2"/>
      <c r="E25" s="2"/>
      <c r="F25" s="2"/>
      <c r="G25" s="5"/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0" customHeight="1">
      <c r="A26" s="2"/>
      <c r="B26" s="3"/>
      <c r="C26" s="29"/>
      <c r="D26" s="2"/>
      <c r="E26" s="2"/>
      <c r="F26" s="2"/>
      <c r="G26" s="5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0" customHeight="1">
      <c r="A27" s="2" t="s">
        <v>30</v>
      </c>
      <c r="B27" s="2" t="s">
        <v>31</v>
      </c>
      <c r="C27" s="10">
        <f>+$B$9/C$23</f>
        <v>0.06756756757</v>
      </c>
      <c r="D27" s="10">
        <f t="shared" ref="D27:E27" si="2">+$B$9/D23</f>
        <v>0.05197505198</v>
      </c>
      <c r="E27" s="10">
        <f t="shared" si="2"/>
        <v>0.03333333333</v>
      </c>
      <c r="F27" s="3"/>
      <c r="G27" s="5"/>
      <c r="H27" s="2"/>
      <c r="I27" s="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0" customHeight="1">
      <c r="A28" s="2" t="s">
        <v>32</v>
      </c>
      <c r="B28" s="2"/>
      <c r="C28" s="10">
        <f t="shared" ref="C28:E28" si="3">+C$27/44</f>
        <v>0.001535626536</v>
      </c>
      <c r="D28" s="10">
        <f t="shared" si="3"/>
        <v>0.001181251181</v>
      </c>
      <c r="E28" s="10">
        <f t="shared" si="3"/>
        <v>0.0007575757576</v>
      </c>
      <c r="F28" s="2"/>
      <c r="G28" s="2"/>
      <c r="H28" s="2"/>
      <c r="I28" s="2"/>
      <c r="J28" s="3"/>
      <c r="K28" s="3"/>
      <c r="L28" s="2"/>
      <c r="M28" s="2"/>
      <c r="N28" s="2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2" t="s">
        <v>33</v>
      </c>
      <c r="B29" s="2" t="s">
        <v>5</v>
      </c>
      <c r="C29" s="30">
        <f>C$28/$B$12*10^6</f>
        <v>1303.609118</v>
      </c>
      <c r="D29" s="30">
        <f>D28/B12*10^6</f>
        <v>1002.776245</v>
      </c>
      <c r="E29" s="30">
        <f>E28/B12*10^6</f>
        <v>643.1138316</v>
      </c>
      <c r="F29" s="2"/>
      <c r="G29" s="2"/>
      <c r="H29" s="2"/>
      <c r="I29" s="2"/>
      <c r="J29" s="3"/>
      <c r="K29" s="3"/>
      <c r="L29" s="5"/>
      <c r="M29" s="2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3"/>
      <c r="B30" s="3"/>
      <c r="C30" s="3"/>
      <c r="D30" s="3"/>
      <c r="E30" s="3"/>
      <c r="F30" s="2"/>
      <c r="G30" s="2"/>
      <c r="H30" s="2"/>
      <c r="I30" s="2"/>
      <c r="J30" s="3"/>
      <c r="K30" s="2"/>
      <c r="L30" s="5"/>
      <c r="M30" s="2"/>
      <c r="N30" s="2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31" t="s">
        <v>34</v>
      </c>
      <c r="B31" s="31" t="s">
        <v>5</v>
      </c>
      <c r="C31" s="32">
        <f>$B$7+C$29</f>
        <v>1703.609118</v>
      </c>
      <c r="D31" s="33">
        <f>+B7+D29</f>
        <v>1402.776245</v>
      </c>
      <c r="E31" s="33">
        <f>+B7+E29</f>
        <v>1043.113832</v>
      </c>
      <c r="F31" s="2"/>
      <c r="G31" s="2"/>
      <c r="H31" s="2"/>
      <c r="I31" s="2"/>
      <c r="J31" s="3"/>
      <c r="K31" s="3"/>
      <c r="L31" s="26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3"/>
      <c r="B32" s="3"/>
      <c r="C32" s="3"/>
      <c r="D32" s="2"/>
      <c r="E32" s="2"/>
      <c r="F32" s="2"/>
      <c r="G32" s="2"/>
      <c r="H32" s="2"/>
      <c r="I32" s="2"/>
      <c r="J32" s="3"/>
      <c r="K32" s="3"/>
      <c r="L32" s="26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11" t="s">
        <v>35</v>
      </c>
      <c r="B33" s="34"/>
      <c r="C33" s="35"/>
      <c r="D33" s="35"/>
      <c r="E33" s="35"/>
      <c r="F33" s="2"/>
      <c r="G33" s="2"/>
      <c r="H33" s="2"/>
      <c r="I33" s="2"/>
      <c r="J33" s="3"/>
      <c r="K33" s="3"/>
      <c r="L33" s="26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3"/>
      <c r="B34" s="3"/>
      <c r="C34" s="22" t="s">
        <v>18</v>
      </c>
      <c r="D34" s="22" t="s">
        <v>19</v>
      </c>
      <c r="E34" s="22" t="s">
        <v>36</v>
      </c>
      <c r="F34" s="2"/>
      <c r="G34" s="2"/>
      <c r="H34" s="2"/>
      <c r="I34" s="2"/>
      <c r="J34" s="3"/>
      <c r="K34" s="3"/>
      <c r="L34" s="26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2" t="s">
        <v>37</v>
      </c>
      <c r="B35" s="2"/>
      <c r="C35" s="41">
        <v>5.0</v>
      </c>
      <c r="D35" s="41">
        <v>8.0</v>
      </c>
      <c r="E35" s="42">
        <v>13.0</v>
      </c>
      <c r="F35" s="2"/>
      <c r="G35" s="2"/>
      <c r="H35" s="2"/>
      <c r="I35" s="2"/>
      <c r="J35" s="3"/>
      <c r="K35" s="3"/>
      <c r="L35" s="2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3"/>
      <c r="B36" s="3"/>
      <c r="C36" s="3"/>
      <c r="D36" s="3"/>
      <c r="E36" s="3"/>
      <c r="F36" s="2"/>
      <c r="G36" s="2"/>
      <c r="H36" s="2"/>
      <c r="I36" s="2"/>
      <c r="J36" s="2"/>
      <c r="K36" s="2"/>
      <c r="L36" s="5"/>
      <c r="M36" s="2"/>
      <c r="N36" s="2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2" t="s">
        <v>30</v>
      </c>
      <c r="B37" s="2" t="s">
        <v>31</v>
      </c>
      <c r="C37" s="10">
        <f t="shared" ref="C37:E37" si="4">+$B$9/((C$23*($B$16/C$35)))</f>
        <v>0.06756756757</v>
      </c>
      <c r="D37" s="10">
        <f t="shared" si="4"/>
        <v>0.08316008316</v>
      </c>
      <c r="E37" s="10">
        <f t="shared" si="4"/>
        <v>0.08666666667</v>
      </c>
      <c r="F37" s="3"/>
      <c r="G37" s="2"/>
      <c r="H37" s="2"/>
      <c r="I37" s="2"/>
      <c r="J37" s="2"/>
      <c r="K37" s="2"/>
      <c r="L37" s="2"/>
      <c r="M37" s="2"/>
      <c r="N37" s="2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2" t="s">
        <v>32</v>
      </c>
      <c r="B38" s="2"/>
      <c r="C38" s="10">
        <f t="shared" ref="C38:E38" si="5">+C$37/44</f>
        <v>0.001535626536</v>
      </c>
      <c r="D38" s="10">
        <f t="shared" si="5"/>
        <v>0.00189000189</v>
      </c>
      <c r="E38" s="10">
        <f t="shared" si="5"/>
        <v>0.00196969697</v>
      </c>
      <c r="F38" s="2"/>
      <c r="G38" s="2"/>
      <c r="H38" s="2"/>
      <c r="I38" s="2"/>
      <c r="J38" s="2"/>
      <c r="K38" s="2"/>
      <c r="L38" s="2"/>
      <c r="M38" s="2"/>
      <c r="N38" s="2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0" customHeight="1">
      <c r="A39" s="2" t="s">
        <v>33</v>
      </c>
      <c r="B39" s="2" t="s">
        <v>5</v>
      </c>
      <c r="C39" s="30">
        <f t="shared" ref="C39:E39" si="6">C$38/$B$12*10^6</f>
        <v>1303.609118</v>
      </c>
      <c r="D39" s="30">
        <f t="shared" si="6"/>
        <v>1604.441992</v>
      </c>
      <c r="E39" s="30">
        <f t="shared" si="6"/>
        <v>1672.095962</v>
      </c>
      <c r="F39" s="2"/>
      <c r="G39" s="2"/>
      <c r="H39" s="2"/>
      <c r="I39" s="2"/>
      <c r="J39" s="2"/>
      <c r="K39" s="2"/>
      <c r="L39" s="2"/>
      <c r="M39" s="2"/>
      <c r="N39" s="2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0" customHeight="1">
      <c r="A40" s="3"/>
      <c r="B40" s="3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0" customHeight="1">
      <c r="A41" s="31" t="s">
        <v>34</v>
      </c>
      <c r="B41" s="31" t="s">
        <v>5</v>
      </c>
      <c r="C41" s="33">
        <f t="shared" ref="C41:E41" si="7">$B$7+C$39</f>
        <v>1703.609118</v>
      </c>
      <c r="D41" s="33">
        <f t="shared" si="7"/>
        <v>2004.441992</v>
      </c>
      <c r="E41" s="33">
        <f t="shared" si="7"/>
        <v>2072.095962</v>
      </c>
      <c r="F41" s="2"/>
      <c r="G41" s="2"/>
      <c r="H41" s="2"/>
      <c r="I41" s="2"/>
      <c r="J41" s="2"/>
      <c r="K41" s="2"/>
      <c r="L41" s="2"/>
      <c r="M41" s="2"/>
      <c r="N41" s="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0" customHeight="1">
      <c r="A42" s="3"/>
      <c r="B42" s="3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19"/>
      <c r="C43" s="2"/>
      <c r="D43" s="2"/>
      <c r="E43" s="2"/>
      <c r="F43" s="2"/>
      <c r="G43" s="2"/>
      <c r="H43" s="2"/>
      <c r="I43" s="2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6" t="s">
        <v>38</v>
      </c>
      <c r="F44" s="2"/>
      <c r="G44" s="2"/>
      <c r="H44" s="2"/>
      <c r="I44" s="2"/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7" t="s">
        <v>39</v>
      </c>
      <c r="C45" s="38">
        <f>B17</f>
        <v>200</v>
      </c>
      <c r="D45" s="39"/>
      <c r="E45" s="39"/>
      <c r="F45" s="2"/>
      <c r="G45" s="2"/>
      <c r="H45" s="2"/>
      <c r="I45" s="2"/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7" t="s">
        <v>40</v>
      </c>
      <c r="C46" s="37" t="s">
        <v>18</v>
      </c>
      <c r="D46" s="39" t="s">
        <v>19</v>
      </c>
      <c r="E46" s="39" t="s">
        <v>36</v>
      </c>
      <c r="F46" s="2"/>
      <c r="G46" s="2"/>
      <c r="H46" s="2"/>
      <c r="I46" s="2"/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45">
        <v>0.0</v>
      </c>
      <c r="C47" s="40">
        <f t="shared" ref="C47:E47" si="8">C$21*$C$45</f>
        <v>12</v>
      </c>
      <c r="D47" s="40">
        <f t="shared" si="8"/>
        <v>15.6</v>
      </c>
      <c r="E47" s="40">
        <f t="shared" si="8"/>
        <v>30</v>
      </c>
      <c r="F47" s="2"/>
      <c r="G47" s="2"/>
      <c r="H47" s="2"/>
      <c r="I47" s="2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45">
        <v>1.0</v>
      </c>
      <c r="C48" s="40">
        <f t="shared" ref="C48:D48" si="9">C$47+$B48*C$20</f>
        <v>17</v>
      </c>
      <c r="D48" s="40">
        <f t="shared" si="9"/>
        <v>22.1</v>
      </c>
      <c r="E48" s="40">
        <f t="shared" ref="E48:E57" si="11">MAX(E$47,$B48*E$20)</f>
        <v>30</v>
      </c>
      <c r="F48" s="2"/>
      <c r="G48" s="2"/>
      <c r="H48" s="2"/>
      <c r="I48" s="2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20">
        <v>2.0</v>
      </c>
      <c r="C49" s="40">
        <f t="shared" ref="C49:D49" si="10">C$47+$B49*C$20</f>
        <v>22</v>
      </c>
      <c r="D49" s="40">
        <f t="shared" si="10"/>
        <v>28.6</v>
      </c>
      <c r="E49" s="40">
        <f t="shared" si="11"/>
        <v>30</v>
      </c>
      <c r="F49" s="2"/>
      <c r="G49" s="2"/>
      <c r="H49" s="2"/>
      <c r="I49" s="2"/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20">
        <v>3.0</v>
      </c>
      <c r="C50" s="40">
        <f t="shared" ref="C50:D50" si="12">C$47+$B50*C$20</f>
        <v>27</v>
      </c>
      <c r="D50" s="40">
        <f t="shared" si="12"/>
        <v>35.1</v>
      </c>
      <c r="E50" s="40">
        <f t="shared" si="11"/>
        <v>45</v>
      </c>
      <c r="F50" s="2"/>
      <c r="G50" s="2"/>
      <c r="H50" s="2"/>
      <c r="I50" s="2"/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20">
        <v>4.0</v>
      </c>
      <c r="C51" s="40">
        <f t="shared" ref="C51:D51" si="13">C$47+$B51*C$20</f>
        <v>32</v>
      </c>
      <c r="D51" s="40">
        <f t="shared" si="13"/>
        <v>41.6</v>
      </c>
      <c r="E51" s="40">
        <f t="shared" si="11"/>
        <v>60</v>
      </c>
      <c r="F51" s="2"/>
      <c r="G51" s="2"/>
      <c r="H51" s="2"/>
      <c r="I51" s="2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20">
        <v>5.0</v>
      </c>
      <c r="C52" s="40">
        <f t="shared" ref="C52:D52" si="14">C$47+$B52*C$20</f>
        <v>37</v>
      </c>
      <c r="D52" s="40">
        <f t="shared" si="14"/>
        <v>48.1</v>
      </c>
      <c r="E52" s="40">
        <f t="shared" si="11"/>
        <v>75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20">
        <v>6.0</v>
      </c>
      <c r="C53" s="40">
        <f t="shared" ref="C53:D53" si="15">C$47+$B53*C$20</f>
        <v>42</v>
      </c>
      <c r="D53" s="40">
        <f t="shared" si="15"/>
        <v>54.6</v>
      </c>
      <c r="E53" s="40">
        <f t="shared" si="11"/>
        <v>90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26">
        <v>7.0</v>
      </c>
      <c r="C54" s="40">
        <f t="shared" ref="C54:D54" si="16">C$47+$B54*C$20</f>
        <v>47</v>
      </c>
      <c r="D54" s="40">
        <f t="shared" si="16"/>
        <v>61.1</v>
      </c>
      <c r="E54" s="40">
        <f t="shared" si="11"/>
        <v>105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26">
        <v>8.0</v>
      </c>
      <c r="C55" s="40">
        <f t="shared" ref="C55:D55" si="17">C$47+$B55*C$20</f>
        <v>52</v>
      </c>
      <c r="D55" s="40">
        <f t="shared" si="17"/>
        <v>67.6</v>
      </c>
      <c r="E55" s="40">
        <f t="shared" si="11"/>
        <v>120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26">
        <v>9.0</v>
      </c>
      <c r="C56" s="40">
        <f t="shared" ref="C56:D56" si="18">C$47+$B56*C$20</f>
        <v>57</v>
      </c>
      <c r="D56" s="40">
        <f t="shared" si="18"/>
        <v>74.1</v>
      </c>
      <c r="E56" s="40">
        <f t="shared" si="11"/>
        <v>135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26">
        <v>10.0</v>
      </c>
      <c r="C57" s="40">
        <f t="shared" ref="C57:D57" si="19">C$47+$B57*C$20</f>
        <v>62</v>
      </c>
      <c r="D57" s="40">
        <f t="shared" si="19"/>
        <v>80.6</v>
      </c>
      <c r="E57" s="40">
        <f t="shared" si="11"/>
        <v>150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6" t="s">
        <v>41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7"/>
      <c r="C60" s="37"/>
      <c r="D60" s="39"/>
      <c r="E60" s="3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7" t="s">
        <v>40</v>
      </c>
      <c r="C61" s="37" t="s">
        <v>18</v>
      </c>
      <c r="D61" s="39" t="s">
        <v>19</v>
      </c>
      <c r="E61" s="39" t="s">
        <v>20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8">
        <v>0.0</v>
      </c>
      <c r="C62" s="40">
        <f t="shared" ref="C62:E62" si="20">$B62*$B$9/C47/44/$B$12*10^6+$B$7</f>
        <v>400</v>
      </c>
      <c r="D62" s="40">
        <f t="shared" si="20"/>
        <v>400</v>
      </c>
      <c r="E62" s="40">
        <f t="shared" si="20"/>
        <v>400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8">
        <v>1.0</v>
      </c>
      <c r="C63" s="40">
        <f t="shared" ref="C63:E63" si="21">$B63*$B$9/C48/44/$B$12*10^6+$B$7</f>
        <v>967.4533808</v>
      </c>
      <c r="D63" s="40">
        <f t="shared" si="21"/>
        <v>836.5026006</v>
      </c>
      <c r="E63" s="40">
        <f t="shared" si="21"/>
        <v>721.5569158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43">
        <v>2.0</v>
      </c>
      <c r="C64" s="40">
        <f t="shared" ref="C64:E64" si="22">$B64*$B$9/C49/44/$B$12*10^6+$B$7</f>
        <v>1276.973407</v>
      </c>
      <c r="D64" s="40">
        <f t="shared" si="22"/>
        <v>1074.594928</v>
      </c>
      <c r="E64" s="40">
        <f t="shared" si="22"/>
        <v>1043.113832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43">
        <v>3.0</v>
      </c>
      <c r="C65" s="40">
        <f t="shared" ref="C65:E65" si="23">$B65*$B$9/C50/44/$B$12*10^6+$B$7</f>
        <v>1471.856386</v>
      </c>
      <c r="D65" s="40">
        <f t="shared" si="23"/>
        <v>1224.504912</v>
      </c>
      <c r="E65" s="40">
        <f t="shared" si="23"/>
        <v>1043.113832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43">
        <v>4.0</v>
      </c>
      <c r="C66" s="40">
        <f t="shared" ref="C66:E66" si="24">$B66*$B$9/C51/44/$B$12*10^6+$B$7</f>
        <v>1605.838434</v>
      </c>
      <c r="D66" s="40">
        <f t="shared" si="24"/>
        <v>1327.568026</v>
      </c>
      <c r="E66" s="40">
        <f t="shared" si="24"/>
        <v>1043.113832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43">
        <v>5.0</v>
      </c>
      <c r="C67" s="40">
        <f t="shared" ref="C67:E67" si="25">$B67*$B$9/C52/44/$B$12*10^6+$B$7</f>
        <v>1703.609118</v>
      </c>
      <c r="D67" s="40">
        <f t="shared" si="25"/>
        <v>1402.776245</v>
      </c>
      <c r="E67" s="40">
        <f t="shared" si="25"/>
        <v>1043.113832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43">
        <v>6.0</v>
      </c>
      <c r="C68" s="40">
        <f t="shared" ref="C68:E68" si="26">$B68*$B$9/C53/44/$B$12*10^6+$B$7</f>
        <v>1778.101068</v>
      </c>
      <c r="D68" s="40">
        <f t="shared" si="26"/>
        <v>1460.077744</v>
      </c>
      <c r="E68" s="40">
        <f t="shared" si="26"/>
        <v>1043.113832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44">
        <v>7.0</v>
      </c>
      <c r="C69" s="40">
        <f t="shared" ref="C69:E69" si="27">$B69*$B$9/C54/44/$B$12*10^6+$B$7</f>
        <v>1836.743666</v>
      </c>
      <c r="D69" s="40">
        <f t="shared" si="27"/>
        <v>1505.187436</v>
      </c>
      <c r="E69" s="40">
        <f t="shared" si="27"/>
        <v>1043.113832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44">
        <v>8.0</v>
      </c>
      <c r="C70" s="40">
        <f t="shared" ref="C70:E70" si="28">$B70*$B$9/C55/44/$B$12*10^6+$B$7</f>
        <v>1884.108842</v>
      </c>
      <c r="D70" s="40">
        <f t="shared" si="28"/>
        <v>1541.622186</v>
      </c>
      <c r="E70" s="40">
        <f t="shared" si="28"/>
        <v>1043.113832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44">
        <v>9.0</v>
      </c>
      <c r="C71" s="40">
        <f t="shared" ref="C71:E71" si="29">$B71*$B$9/C56/44/$B$12*10^6+$B$7</f>
        <v>1923.164338</v>
      </c>
      <c r="D71" s="40">
        <f t="shared" si="29"/>
        <v>1571.664875</v>
      </c>
      <c r="E71" s="40">
        <f t="shared" si="29"/>
        <v>1043.113832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44">
        <v>10.0</v>
      </c>
      <c r="C72" s="40">
        <f t="shared" ref="C72:E72" si="30">$B72*$B$9/C57/44/$B$12*10^6+$B$7</f>
        <v>1955.92056</v>
      </c>
      <c r="D72" s="40">
        <f t="shared" si="30"/>
        <v>1596.86197</v>
      </c>
      <c r="E72" s="40">
        <f t="shared" si="30"/>
        <v>1043.113832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26" t="s">
        <v>42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6" t="s">
        <v>43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46" t="s">
        <v>37</v>
      </c>
      <c r="C75" s="46" t="s">
        <v>18</v>
      </c>
      <c r="D75" s="36" t="s">
        <v>19</v>
      </c>
      <c r="E75" s="36" t="s">
        <v>20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45">
        <v>0.0</v>
      </c>
      <c r="C76" s="40">
        <f t="shared" ref="C76:C86" si="31">$B76*$B$9/Vlookup($B$16,$B$47:$E$57,2,false)/44/$B$12*10^6+$B$7</f>
        <v>400</v>
      </c>
      <c r="D76" s="40">
        <f t="shared" ref="D76:D86" si="32">$B76*$B$9/Vlookup($B$16,$B$47:$E$57,3,false)/44/$B$12*10^6+$B$7</f>
        <v>400</v>
      </c>
      <c r="E76" s="40">
        <f t="shared" ref="E76:E86" si="33">$B76*$B$9/Vlookup($B$16,$B$47:$E$57,4,false)/44/$B$12*10^6+$B$7</f>
        <v>400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45">
        <v>1.0</v>
      </c>
      <c r="C77" s="40">
        <f t="shared" si="31"/>
        <v>660.7218236</v>
      </c>
      <c r="D77" s="40">
        <f t="shared" si="32"/>
        <v>600.5552489</v>
      </c>
      <c r="E77" s="40">
        <f t="shared" si="33"/>
        <v>528.6227663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20">
        <v>2.0</v>
      </c>
      <c r="C78" s="40">
        <f t="shared" si="31"/>
        <v>921.4436473</v>
      </c>
      <c r="D78" s="40">
        <f t="shared" si="32"/>
        <v>801.1104979</v>
      </c>
      <c r="E78" s="40">
        <f t="shared" si="33"/>
        <v>657.2455326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20">
        <v>3.0</v>
      </c>
      <c r="C79" s="40">
        <f t="shared" si="31"/>
        <v>1182.165471</v>
      </c>
      <c r="D79" s="40">
        <f t="shared" si="32"/>
        <v>1001.665747</v>
      </c>
      <c r="E79" s="40">
        <f t="shared" si="33"/>
        <v>785.868299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20">
        <v>4.0</v>
      </c>
      <c r="C80" s="40">
        <f t="shared" si="31"/>
        <v>1442.887295</v>
      </c>
      <c r="D80" s="40">
        <f t="shared" si="32"/>
        <v>1202.220996</v>
      </c>
      <c r="E80" s="40">
        <f t="shared" si="33"/>
        <v>914.4910653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20">
        <v>5.0</v>
      </c>
      <c r="C81" s="40">
        <f t="shared" si="31"/>
        <v>1703.609118</v>
      </c>
      <c r="D81" s="40">
        <f t="shared" si="32"/>
        <v>1402.776245</v>
      </c>
      <c r="E81" s="40">
        <f t="shared" si="33"/>
        <v>1043.113832</v>
      </c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20">
        <v>6.0</v>
      </c>
      <c r="C82" s="40">
        <f t="shared" si="31"/>
        <v>1964.330942</v>
      </c>
      <c r="D82" s="40">
        <f t="shared" si="32"/>
        <v>1603.331494</v>
      </c>
      <c r="E82" s="40">
        <f t="shared" si="33"/>
        <v>1171.736598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26">
        <v>7.0</v>
      </c>
      <c r="C83" s="40">
        <f t="shared" si="31"/>
        <v>2225.052765</v>
      </c>
      <c r="D83" s="40">
        <f t="shared" si="32"/>
        <v>1803.886743</v>
      </c>
      <c r="E83" s="40">
        <f t="shared" si="33"/>
        <v>1300.359364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26">
        <v>8.0</v>
      </c>
      <c r="C84" s="40">
        <f t="shared" si="31"/>
        <v>2485.774589</v>
      </c>
      <c r="D84" s="40">
        <f t="shared" si="32"/>
        <v>2004.441992</v>
      </c>
      <c r="E84" s="40">
        <f t="shared" si="33"/>
        <v>1428.982131</v>
      </c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26">
        <v>9.0</v>
      </c>
      <c r="C85" s="40">
        <f t="shared" si="31"/>
        <v>2746.496413</v>
      </c>
      <c r="D85" s="40">
        <f t="shared" si="32"/>
        <v>2204.99724</v>
      </c>
      <c r="E85" s="40">
        <f t="shared" si="33"/>
        <v>1557.604897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26">
        <v>10.0</v>
      </c>
      <c r="C86" s="40">
        <f t="shared" si="31"/>
        <v>3007.218236</v>
      </c>
      <c r="D86" s="40">
        <f t="shared" si="32"/>
        <v>2405.552489</v>
      </c>
      <c r="E86" s="40">
        <f t="shared" si="33"/>
        <v>1686.227663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</sheetData>
  <mergeCells count="3">
    <mergeCell ref="B44:E44"/>
    <mergeCell ref="B59:E59"/>
    <mergeCell ref="B74:E74"/>
  </mergeCell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34.56"/>
    <col customWidth="1" min="2" max="5" width="17.56"/>
    <col customWidth="1" min="6" max="26" width="8.5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>
      <c r="A2" s="1"/>
      <c r="B2" s="2"/>
      <c r="C2" s="2"/>
      <c r="D2" s="2"/>
      <c r="E2" s="2"/>
      <c r="F2" s="2"/>
      <c r="G2" s="2"/>
      <c r="H2" s="2"/>
      <c r="I2" s="2"/>
      <c r="J2" s="3"/>
    </row>
    <row r="3">
      <c r="A3" s="4" t="s">
        <v>1</v>
      </c>
      <c r="B3" s="2"/>
      <c r="C3" s="2"/>
      <c r="D3" s="2"/>
      <c r="E3" s="2"/>
      <c r="F3" s="2"/>
      <c r="G3" s="2"/>
      <c r="H3" s="2"/>
      <c r="I3" s="2"/>
      <c r="J3" s="3"/>
    </row>
    <row r="4">
      <c r="A4" s="4" t="s">
        <v>2</v>
      </c>
      <c r="B4" s="2"/>
      <c r="C4" s="2"/>
      <c r="D4" s="2"/>
      <c r="E4" s="2"/>
      <c r="F4" s="2"/>
      <c r="G4" s="2"/>
      <c r="H4" s="2"/>
      <c r="I4" s="2"/>
      <c r="J4" s="3"/>
    </row>
    <row r="5">
      <c r="A5" s="2" t="s">
        <v>3</v>
      </c>
      <c r="B5" s="2"/>
      <c r="C5" s="2"/>
      <c r="D5" s="2"/>
      <c r="E5" s="2"/>
      <c r="F5" s="2"/>
      <c r="G5" s="2"/>
      <c r="H5" s="2"/>
      <c r="I5" s="2"/>
      <c r="J5" s="3"/>
    </row>
    <row r="6">
      <c r="A6" s="2"/>
      <c r="B6" s="2"/>
      <c r="C6" s="2"/>
      <c r="D6" s="2"/>
      <c r="E6" s="2"/>
      <c r="F6" s="2"/>
      <c r="G6" s="2"/>
      <c r="H6" s="2"/>
      <c r="I6" s="2"/>
      <c r="J6" s="3"/>
    </row>
    <row r="7">
      <c r="A7" s="5" t="s">
        <v>4</v>
      </c>
      <c r="B7" s="6">
        <v>400.0</v>
      </c>
      <c r="C7" s="2" t="s">
        <v>5</v>
      </c>
      <c r="D7" s="2"/>
      <c r="E7" s="2"/>
      <c r="F7" s="2"/>
      <c r="G7" s="2"/>
      <c r="H7" s="2"/>
      <c r="I7" s="2"/>
      <c r="J7" s="3"/>
    </row>
    <row r="8">
      <c r="A8" s="2" t="s">
        <v>6</v>
      </c>
      <c r="B8" s="7">
        <v>30.0</v>
      </c>
      <c r="C8" s="3" t="s">
        <v>7</v>
      </c>
      <c r="D8" s="8" t="str">
        <f>HYPERLINK("https://docs.google.com/spreadsheets/d/1KcjR-iBMXpZ-QPBVB-cEhmVCz-rwn-OS/edit#gid=1240605668","Link to Calculator")</f>
        <v>Link to Calculator</v>
      </c>
      <c r="E8" s="9"/>
      <c r="F8" s="4"/>
      <c r="G8" s="3"/>
      <c r="H8" s="3"/>
      <c r="I8" s="2"/>
      <c r="J8" s="3"/>
    </row>
    <row r="9">
      <c r="A9" s="2" t="s">
        <v>8</v>
      </c>
      <c r="B9" s="10">
        <f>+B8/60</f>
        <v>0.5</v>
      </c>
      <c r="C9" s="2" t="s">
        <v>9</v>
      </c>
      <c r="D9" s="2"/>
      <c r="E9" s="2"/>
      <c r="F9" s="2"/>
      <c r="G9" s="2"/>
      <c r="H9" s="2"/>
      <c r="I9" s="2"/>
      <c r="J9" s="3"/>
    </row>
    <row r="10">
      <c r="A10" s="2" t="s">
        <v>10</v>
      </c>
      <c r="B10" s="10">
        <v>41.6</v>
      </c>
      <c r="C10" s="2" t="s">
        <v>11</v>
      </c>
      <c r="D10" s="2"/>
      <c r="E10" s="2"/>
      <c r="F10" s="2"/>
      <c r="G10" s="2"/>
      <c r="H10" s="2"/>
      <c r="I10" s="2"/>
      <c r="J10" s="3"/>
    </row>
    <row r="11">
      <c r="A11" s="2" t="s">
        <v>12</v>
      </c>
      <c r="B11" s="10">
        <f>(0.3048)^3</f>
        <v>0.02831684659</v>
      </c>
      <c r="C11" s="2" t="s">
        <v>13</v>
      </c>
      <c r="D11" s="2"/>
      <c r="E11" s="2"/>
      <c r="F11" s="2"/>
      <c r="G11" s="2"/>
      <c r="H11" s="2"/>
      <c r="I11" s="2"/>
      <c r="J11" s="3"/>
    </row>
    <row r="12">
      <c r="A12" s="2" t="s">
        <v>14</v>
      </c>
      <c r="B12" s="10">
        <f>+B10*B11</f>
        <v>1.177980818</v>
      </c>
      <c r="C12" s="2"/>
      <c r="D12" s="2"/>
      <c r="E12" s="2"/>
      <c r="F12" s="2"/>
      <c r="G12" s="2"/>
      <c r="H12" s="2"/>
      <c r="I12" s="2"/>
      <c r="J12" s="3"/>
    </row>
    <row r="13">
      <c r="A13" s="2"/>
      <c r="B13" s="10"/>
      <c r="C13" s="2"/>
      <c r="D13" s="2"/>
      <c r="E13" s="2"/>
      <c r="F13" s="2"/>
      <c r="G13" s="2"/>
      <c r="H13" s="2"/>
      <c r="I13" s="2"/>
      <c r="J13" s="3"/>
    </row>
    <row r="14">
      <c r="A14" s="11" t="s">
        <v>15</v>
      </c>
      <c r="B14" s="12"/>
      <c r="C14" s="13"/>
      <c r="D14" s="14"/>
      <c r="E14" s="14"/>
      <c r="F14" s="2"/>
      <c r="G14" s="15"/>
      <c r="H14" s="16"/>
      <c r="I14" s="17"/>
      <c r="J14" s="18"/>
    </row>
    <row r="15">
      <c r="A15" s="2"/>
      <c r="B15" s="19"/>
      <c r="C15" s="2"/>
      <c r="D15" s="2"/>
      <c r="E15" s="2"/>
      <c r="F15" s="2"/>
      <c r="G15" s="2"/>
      <c r="H15" s="2"/>
      <c r="I15" s="2"/>
      <c r="J15" s="3"/>
    </row>
    <row r="16">
      <c r="A16" s="3" t="s">
        <v>16</v>
      </c>
      <c r="B16" s="20">
        <v>5.0</v>
      </c>
      <c r="C16" s="2"/>
      <c r="D16" s="2"/>
      <c r="E16" s="2"/>
      <c r="F16" s="2"/>
      <c r="G16" s="21"/>
      <c r="H16" s="21"/>
      <c r="I16" s="21"/>
      <c r="J16" s="3"/>
    </row>
    <row r="17">
      <c r="A17" s="3" t="s">
        <v>17</v>
      </c>
      <c r="B17" s="20">
        <v>1000.0</v>
      </c>
      <c r="C17" s="2"/>
      <c r="D17" s="2"/>
      <c r="E17" s="2"/>
      <c r="F17" s="2"/>
      <c r="G17" s="5"/>
      <c r="H17" s="2"/>
      <c r="I17" s="2"/>
      <c r="J17" s="3"/>
    </row>
    <row r="18">
      <c r="A18" s="2"/>
      <c r="B18" s="19"/>
      <c r="C18" s="2"/>
      <c r="D18" s="2"/>
      <c r="E18" s="2"/>
      <c r="F18" s="2"/>
      <c r="G18" s="5"/>
      <c r="H18" s="2"/>
      <c r="I18" s="2"/>
      <c r="J18" s="3"/>
    </row>
    <row r="19">
      <c r="A19" s="3"/>
      <c r="B19" s="2"/>
      <c r="C19" s="22" t="s">
        <v>18</v>
      </c>
      <c r="D19" s="22" t="s">
        <v>19</v>
      </c>
      <c r="E19" s="23" t="s">
        <v>20</v>
      </c>
      <c r="F19" s="2"/>
      <c r="G19" s="5"/>
      <c r="H19" s="2"/>
      <c r="I19" s="2"/>
      <c r="J19" s="3"/>
    </row>
    <row r="20">
      <c r="A20" s="4" t="s">
        <v>21</v>
      </c>
      <c r="B20" s="2" t="s">
        <v>22</v>
      </c>
      <c r="C20" s="19">
        <v>5.0</v>
      </c>
      <c r="D20" s="19">
        <v>6.5</v>
      </c>
      <c r="E20" s="19">
        <v>15.0</v>
      </c>
      <c r="F20" s="24" t="s">
        <v>23</v>
      </c>
      <c r="G20" s="5"/>
      <c r="H20" s="2"/>
      <c r="I20" s="2"/>
      <c r="J20" s="3"/>
    </row>
    <row r="21" ht="15.75" customHeight="1">
      <c r="A21" s="4" t="s">
        <v>24</v>
      </c>
      <c r="B21" s="2" t="s">
        <v>25</v>
      </c>
      <c r="C21" s="19">
        <v>0.06</v>
      </c>
      <c r="D21" s="19">
        <v>0.078</v>
      </c>
      <c r="E21" s="19">
        <v>0.15</v>
      </c>
      <c r="F21" s="2"/>
      <c r="G21" s="5"/>
      <c r="H21" s="2"/>
      <c r="I21" s="2"/>
      <c r="J21" s="3"/>
    </row>
    <row r="22" ht="15.75" customHeight="1">
      <c r="A22" s="26"/>
      <c r="B22" s="2"/>
      <c r="C22" s="2"/>
      <c r="D22" s="2"/>
      <c r="E22" s="2"/>
      <c r="F22" s="2"/>
      <c r="G22" s="5"/>
      <c r="H22" s="2"/>
      <c r="I22" s="2"/>
      <c r="J22" s="3"/>
    </row>
    <row r="23" ht="15.75" customHeight="1">
      <c r="A23" s="26" t="s">
        <v>26</v>
      </c>
      <c r="B23" s="5" t="s">
        <v>22</v>
      </c>
      <c r="C23" s="27">
        <f t="shared" ref="C23:D23" si="1">((C$20)+(C$21*($B$17/$B$16)))</f>
        <v>17</v>
      </c>
      <c r="D23" s="27">
        <f t="shared" si="1"/>
        <v>22.1</v>
      </c>
      <c r="E23" s="28">
        <f>MAX((E$20),(E$21*($B$17/$B$16)))</f>
        <v>30</v>
      </c>
      <c r="F23" s="2"/>
      <c r="G23" s="5"/>
      <c r="H23" s="2"/>
      <c r="I23" s="2"/>
      <c r="J23" s="3"/>
    </row>
    <row r="24" ht="15.75" customHeight="1">
      <c r="A24" s="5" t="s">
        <v>24</v>
      </c>
      <c r="B24" s="26" t="s">
        <v>27</v>
      </c>
      <c r="C24" s="29">
        <f>C21*B17</f>
        <v>60</v>
      </c>
      <c r="D24" s="2"/>
      <c r="E24" s="2"/>
      <c r="F24" s="2"/>
      <c r="G24" s="5"/>
      <c r="H24" s="2"/>
      <c r="I24" s="2"/>
      <c r="J24" s="3"/>
    </row>
    <row r="25" ht="15.75" customHeight="1">
      <c r="A25" s="5" t="s">
        <v>28</v>
      </c>
      <c r="B25" s="5" t="s">
        <v>29</v>
      </c>
      <c r="C25" s="29">
        <f>C20</f>
        <v>5</v>
      </c>
      <c r="D25" s="2"/>
      <c r="E25" s="2"/>
      <c r="F25" s="2"/>
      <c r="G25" s="5"/>
      <c r="H25" s="2"/>
      <c r="I25" s="2"/>
      <c r="J25" s="3"/>
    </row>
    <row r="26" ht="15.75" customHeight="1">
      <c r="A26" s="2"/>
      <c r="B26" s="3"/>
      <c r="C26" s="29"/>
      <c r="D26" s="2"/>
      <c r="E26" s="2"/>
      <c r="F26" s="2"/>
      <c r="G26" s="5"/>
      <c r="H26" s="2"/>
      <c r="I26" s="2"/>
      <c r="J26" s="3"/>
    </row>
    <row r="27" ht="15.75" customHeight="1">
      <c r="A27" s="2" t="s">
        <v>30</v>
      </c>
      <c r="B27" s="2" t="s">
        <v>31</v>
      </c>
      <c r="C27" s="10">
        <f>+$B$9/C$23</f>
        <v>0.02941176471</v>
      </c>
      <c r="D27" s="10">
        <f t="shared" ref="D27:E27" si="2">+$B$9/D23</f>
        <v>0.02262443439</v>
      </c>
      <c r="E27" s="10">
        <f t="shared" si="2"/>
        <v>0.01666666667</v>
      </c>
      <c r="F27" s="3"/>
      <c r="G27" s="5"/>
      <c r="H27" s="2"/>
      <c r="I27" s="2"/>
      <c r="J27" s="3"/>
    </row>
    <row r="28" ht="15.75" customHeight="1">
      <c r="A28" s="2" t="s">
        <v>32</v>
      </c>
      <c r="B28" s="2"/>
      <c r="C28" s="10">
        <f t="shared" ref="C28:E28" si="3">+C$27/44</f>
        <v>0.0006684491979</v>
      </c>
      <c r="D28" s="10">
        <f t="shared" si="3"/>
        <v>0.0005141916907</v>
      </c>
      <c r="E28" s="10">
        <f t="shared" si="3"/>
        <v>0.0003787878788</v>
      </c>
      <c r="F28" s="2"/>
      <c r="G28" s="2"/>
      <c r="H28" s="2"/>
      <c r="I28" s="2"/>
      <c r="J28" s="3"/>
    </row>
    <row r="29" ht="15.75" customHeight="1">
      <c r="A29" s="2" t="s">
        <v>33</v>
      </c>
      <c r="B29" s="2" t="s">
        <v>5</v>
      </c>
      <c r="C29" s="30">
        <f>C$28/$B$12*10^6</f>
        <v>567.4533808</v>
      </c>
      <c r="D29" s="30">
        <f>D28/B12*10^6</f>
        <v>436.5026006</v>
      </c>
      <c r="E29" s="30">
        <f>E28/B12*10^6</f>
        <v>321.5569158</v>
      </c>
      <c r="F29" s="2"/>
      <c r="G29" s="2"/>
      <c r="H29" s="2"/>
      <c r="I29" s="2"/>
      <c r="J29" s="3"/>
    </row>
    <row r="30" ht="15.75" customHeight="1">
      <c r="A30" s="3"/>
      <c r="B30" s="3"/>
      <c r="C30" s="3"/>
      <c r="D30" s="3"/>
      <c r="E30" s="3"/>
      <c r="F30" s="2"/>
      <c r="G30" s="2"/>
      <c r="H30" s="2"/>
      <c r="I30" s="2"/>
      <c r="J30" s="3"/>
    </row>
    <row r="31" ht="15.75" customHeight="1">
      <c r="A31" s="31" t="s">
        <v>34</v>
      </c>
      <c r="B31" s="31" t="s">
        <v>5</v>
      </c>
      <c r="C31" s="32">
        <f>$B$7+C$29</f>
        <v>967.4533808</v>
      </c>
      <c r="D31" s="33">
        <f>+B7+D29</f>
        <v>836.5026006</v>
      </c>
      <c r="E31" s="33">
        <f>+B7+E29</f>
        <v>721.5569158</v>
      </c>
      <c r="F31" s="2"/>
      <c r="G31" s="2"/>
      <c r="H31" s="2"/>
      <c r="I31" s="2"/>
      <c r="J31" s="3"/>
    </row>
    <row r="32" ht="15.75" customHeight="1">
      <c r="A32" s="3"/>
      <c r="B32" s="3"/>
      <c r="C32" s="3"/>
      <c r="D32" s="2"/>
      <c r="E32" s="2"/>
      <c r="F32" s="2"/>
      <c r="G32" s="2"/>
      <c r="H32" s="2"/>
      <c r="I32" s="2"/>
      <c r="J32" s="3"/>
    </row>
    <row r="33" ht="15.75" customHeight="1">
      <c r="A33" s="11" t="s">
        <v>35</v>
      </c>
      <c r="B33" s="34"/>
      <c r="C33" s="35"/>
      <c r="D33" s="35"/>
      <c r="E33" s="35"/>
      <c r="F33" s="2"/>
      <c r="G33" s="2"/>
      <c r="H33" s="2"/>
      <c r="I33" s="2"/>
      <c r="J33" s="3"/>
    </row>
    <row r="34" ht="15.75" customHeight="1">
      <c r="A34" s="3"/>
      <c r="B34" s="3"/>
      <c r="C34" s="22" t="s">
        <v>18</v>
      </c>
      <c r="D34" s="22" t="s">
        <v>19</v>
      </c>
      <c r="E34" s="22" t="s">
        <v>36</v>
      </c>
      <c r="F34" s="2"/>
      <c r="G34" s="2"/>
      <c r="H34" s="2"/>
      <c r="I34" s="2"/>
      <c r="J34" s="3"/>
    </row>
    <row r="35" ht="15.75" customHeight="1">
      <c r="A35" s="2" t="s">
        <v>37</v>
      </c>
      <c r="B35" s="2"/>
      <c r="C35" s="2">
        <v>5.0</v>
      </c>
      <c r="D35" s="2">
        <v>6.0</v>
      </c>
      <c r="E35" s="2">
        <v>13.0</v>
      </c>
      <c r="F35" s="2"/>
      <c r="G35" s="2"/>
      <c r="H35" s="2"/>
      <c r="I35" s="2"/>
      <c r="J35" s="3"/>
    </row>
    <row r="36" ht="15.75" customHeight="1">
      <c r="A36" s="3"/>
      <c r="B36" s="3"/>
      <c r="C36" s="3"/>
      <c r="D36" s="3"/>
      <c r="E36" s="3"/>
      <c r="F36" s="2"/>
      <c r="G36" s="2"/>
      <c r="H36" s="2"/>
      <c r="I36" s="2"/>
      <c r="J36" s="2"/>
    </row>
    <row r="37" ht="15.75" customHeight="1">
      <c r="A37" s="2" t="s">
        <v>30</v>
      </c>
      <c r="B37" s="2" t="s">
        <v>31</v>
      </c>
      <c r="C37" s="10">
        <f t="shared" ref="C37:E37" si="4">+$B$9/((C$23*($B$16/C$35)))</f>
        <v>0.02941176471</v>
      </c>
      <c r="D37" s="10">
        <f t="shared" si="4"/>
        <v>0.02714932127</v>
      </c>
      <c r="E37" s="10">
        <f t="shared" si="4"/>
        <v>0.04333333333</v>
      </c>
      <c r="F37" s="3"/>
      <c r="G37" s="2"/>
      <c r="H37" s="2"/>
      <c r="I37" s="2"/>
      <c r="J37" s="2"/>
    </row>
    <row r="38" ht="15.75" customHeight="1">
      <c r="A38" s="2" t="s">
        <v>32</v>
      </c>
      <c r="B38" s="2"/>
      <c r="C38" s="10">
        <f t="shared" ref="C38:E38" si="5">+C$37/44</f>
        <v>0.0006684491979</v>
      </c>
      <c r="D38" s="10">
        <f t="shared" si="5"/>
        <v>0.0006170300288</v>
      </c>
      <c r="E38" s="10">
        <f t="shared" si="5"/>
        <v>0.0009848484848</v>
      </c>
      <c r="F38" s="2"/>
      <c r="G38" s="2"/>
      <c r="H38" s="2"/>
      <c r="I38" s="2"/>
      <c r="J38" s="2"/>
    </row>
    <row r="39" ht="15.75" customHeight="1">
      <c r="A39" s="2" t="s">
        <v>33</v>
      </c>
      <c r="B39" s="2" t="s">
        <v>5</v>
      </c>
      <c r="C39" s="30">
        <f t="shared" ref="C39:E39" si="6">C$38/$B$12*10^6</f>
        <v>567.4533808</v>
      </c>
      <c r="D39" s="30">
        <f t="shared" si="6"/>
        <v>523.8031208</v>
      </c>
      <c r="E39" s="30">
        <f t="shared" si="6"/>
        <v>836.0479811</v>
      </c>
      <c r="F39" s="2"/>
      <c r="G39" s="2"/>
      <c r="H39" s="2"/>
      <c r="I39" s="2"/>
      <c r="J39" s="2"/>
    </row>
    <row r="40" ht="15.75" customHeight="1">
      <c r="A40" s="3"/>
      <c r="B40" s="3"/>
      <c r="C40" s="3"/>
      <c r="D40" s="3"/>
      <c r="E40" s="3"/>
      <c r="F40" s="2"/>
      <c r="G40" s="2"/>
      <c r="H40" s="2"/>
      <c r="I40" s="2"/>
      <c r="J40" s="2"/>
    </row>
    <row r="41" ht="15.75" customHeight="1">
      <c r="A41" s="31" t="s">
        <v>34</v>
      </c>
      <c r="B41" s="31" t="s">
        <v>5</v>
      </c>
      <c r="C41" s="33">
        <f t="shared" ref="C41:E41" si="7">$B$7+C$39</f>
        <v>967.4533808</v>
      </c>
      <c r="D41" s="33">
        <f t="shared" si="7"/>
        <v>923.8031208</v>
      </c>
      <c r="E41" s="33">
        <f t="shared" si="7"/>
        <v>1236.047981</v>
      </c>
      <c r="F41" s="2"/>
      <c r="G41" s="2"/>
      <c r="H41" s="2"/>
      <c r="I41" s="2"/>
      <c r="J41" s="2"/>
    </row>
    <row r="42" ht="15.75" customHeight="1">
      <c r="A42" s="3"/>
      <c r="B42" s="3"/>
      <c r="C42" s="3"/>
      <c r="D42" s="2"/>
      <c r="E42" s="2"/>
      <c r="F42" s="2"/>
      <c r="G42" s="2"/>
      <c r="H42" s="2"/>
      <c r="I42" s="2"/>
      <c r="J42" s="2"/>
    </row>
    <row r="43" ht="15.75" customHeight="1">
      <c r="A43" s="3"/>
      <c r="B43" s="19"/>
      <c r="C43" s="2"/>
      <c r="D43" s="2"/>
      <c r="E43" s="2"/>
      <c r="F43" s="2"/>
      <c r="G43" s="2"/>
      <c r="H43" s="2"/>
      <c r="I43" s="2"/>
      <c r="J43" s="2"/>
    </row>
    <row r="44" ht="15.75" customHeight="1">
      <c r="A44" s="3"/>
      <c r="B44" s="36" t="s">
        <v>38</v>
      </c>
      <c r="F44" s="2"/>
      <c r="G44" s="2"/>
      <c r="H44" s="2"/>
      <c r="I44" s="2"/>
      <c r="J44" s="2"/>
    </row>
    <row r="45" ht="15.75" customHeight="1">
      <c r="A45" s="3"/>
      <c r="B45" s="37" t="s">
        <v>39</v>
      </c>
      <c r="C45" s="38">
        <f>B17</f>
        <v>1000</v>
      </c>
      <c r="D45" s="39"/>
      <c r="E45" s="39"/>
      <c r="F45" s="2"/>
      <c r="G45" s="2"/>
      <c r="H45" s="2"/>
      <c r="I45" s="2"/>
      <c r="J45" s="2"/>
    </row>
    <row r="46" ht="15.75" customHeight="1">
      <c r="A46" s="3"/>
      <c r="B46" s="37" t="s">
        <v>40</v>
      </c>
      <c r="C46" s="37" t="s">
        <v>18</v>
      </c>
      <c r="D46" s="39" t="s">
        <v>19</v>
      </c>
      <c r="E46" s="39" t="s">
        <v>36</v>
      </c>
      <c r="F46" s="2"/>
      <c r="G46" s="2"/>
      <c r="H46" s="2"/>
      <c r="I46" s="2"/>
      <c r="J46" s="2"/>
    </row>
    <row r="47" ht="15.75" customHeight="1">
      <c r="A47" s="3"/>
      <c r="B47" s="38">
        <v>0.0</v>
      </c>
      <c r="C47" s="40">
        <f t="shared" ref="C47:E47" si="8">C$21*$C$45</f>
        <v>60</v>
      </c>
      <c r="D47" s="40">
        <f t="shared" si="8"/>
        <v>78</v>
      </c>
      <c r="E47" s="40">
        <f t="shared" si="8"/>
        <v>150</v>
      </c>
      <c r="F47" s="2"/>
      <c r="G47" s="2"/>
      <c r="H47" s="2"/>
      <c r="I47" s="2"/>
      <c r="J47" s="2"/>
    </row>
    <row r="48" ht="15.75" customHeight="1">
      <c r="A48" s="3"/>
      <c r="B48" s="38">
        <v>2.0</v>
      </c>
      <c r="C48" s="40">
        <f t="shared" ref="C48:D48" si="9">C$47+$B48*C$20</f>
        <v>70</v>
      </c>
      <c r="D48" s="40">
        <f t="shared" si="9"/>
        <v>91</v>
      </c>
      <c r="E48" s="40">
        <f t="shared" ref="E48:E57" si="11">MAX(E$47,$B48*E$20)</f>
        <v>150</v>
      </c>
      <c r="F48" s="2"/>
      <c r="G48" s="2"/>
      <c r="H48" s="2"/>
      <c r="I48" s="2"/>
      <c r="J48" s="2"/>
    </row>
    <row r="49" ht="15.75" customHeight="1">
      <c r="A49" s="3"/>
      <c r="B49" s="43">
        <v>5.0</v>
      </c>
      <c r="C49" s="40">
        <f t="shared" ref="C49:D49" si="10">C$47+$B49*C$20</f>
        <v>85</v>
      </c>
      <c r="D49" s="40">
        <f t="shared" si="10"/>
        <v>110.5</v>
      </c>
      <c r="E49" s="40">
        <f t="shared" si="11"/>
        <v>150</v>
      </c>
      <c r="F49" s="2"/>
      <c r="G49" s="2"/>
      <c r="H49" s="2"/>
      <c r="I49" s="2"/>
      <c r="J49" s="2"/>
    </row>
    <row r="50" ht="15.75" customHeight="1">
      <c r="A50" s="3"/>
      <c r="B50" s="43">
        <v>6.0</v>
      </c>
      <c r="C50" s="40">
        <f t="shared" ref="C50:D50" si="12">C$47+$B50*C$20</f>
        <v>90</v>
      </c>
      <c r="D50" s="40">
        <f t="shared" si="12"/>
        <v>117</v>
      </c>
      <c r="E50" s="40">
        <f t="shared" si="11"/>
        <v>150</v>
      </c>
      <c r="F50" s="2"/>
      <c r="G50" s="2"/>
      <c r="H50" s="2"/>
      <c r="I50" s="2"/>
      <c r="J50" s="2"/>
    </row>
    <row r="51" ht="15.75" customHeight="1">
      <c r="A51" s="3"/>
      <c r="B51" s="43">
        <v>8.0</v>
      </c>
      <c r="C51" s="40">
        <f t="shared" ref="C51:D51" si="13">C$47+$B51*C$20</f>
        <v>100</v>
      </c>
      <c r="D51" s="40">
        <f t="shared" si="13"/>
        <v>130</v>
      </c>
      <c r="E51" s="40">
        <f t="shared" si="11"/>
        <v>150</v>
      </c>
      <c r="F51" s="2"/>
      <c r="G51" s="2"/>
      <c r="H51" s="2"/>
      <c r="I51" s="2"/>
      <c r="J51" s="2"/>
    </row>
    <row r="52" ht="15.75" customHeight="1">
      <c r="A52" s="3"/>
      <c r="B52" s="43">
        <v>10.0</v>
      </c>
      <c r="C52" s="40">
        <f t="shared" ref="C52:D52" si="14">C$47+$B52*C$20</f>
        <v>110</v>
      </c>
      <c r="D52" s="40">
        <f t="shared" si="14"/>
        <v>143</v>
      </c>
      <c r="E52" s="40">
        <f t="shared" si="11"/>
        <v>150</v>
      </c>
      <c r="F52" s="3"/>
      <c r="G52" s="3"/>
      <c r="H52" s="3"/>
      <c r="I52" s="3"/>
      <c r="J52" s="3"/>
    </row>
    <row r="53" ht="15.75" customHeight="1">
      <c r="A53" s="3"/>
      <c r="B53" s="38">
        <v>12.0</v>
      </c>
      <c r="C53" s="40">
        <f t="shared" ref="C53:D53" si="15">C$47+$B53*C$20</f>
        <v>120</v>
      </c>
      <c r="D53" s="40">
        <f t="shared" si="15"/>
        <v>156</v>
      </c>
      <c r="E53" s="40">
        <f t="shared" si="11"/>
        <v>180</v>
      </c>
      <c r="F53" s="3"/>
      <c r="G53" s="3"/>
      <c r="H53" s="3"/>
      <c r="I53" s="3"/>
      <c r="J53" s="3"/>
    </row>
    <row r="54" ht="15.75" customHeight="1">
      <c r="A54" s="3"/>
      <c r="B54" s="43">
        <v>14.0</v>
      </c>
      <c r="C54" s="40">
        <f t="shared" ref="C54:D54" si="16">C$47+$B54*C$20</f>
        <v>130</v>
      </c>
      <c r="D54" s="40">
        <f t="shared" si="16"/>
        <v>169</v>
      </c>
      <c r="E54" s="40">
        <f t="shared" si="11"/>
        <v>210</v>
      </c>
      <c r="F54" s="3"/>
      <c r="G54" s="3"/>
      <c r="H54" s="3"/>
      <c r="I54" s="3"/>
      <c r="J54" s="3"/>
    </row>
    <row r="55" ht="15.75" customHeight="1">
      <c r="A55" s="3"/>
      <c r="B55" s="43">
        <v>16.0</v>
      </c>
      <c r="C55" s="40">
        <f t="shared" ref="C55:D55" si="17">C$47+$B55*C$20</f>
        <v>140</v>
      </c>
      <c r="D55" s="40">
        <f t="shared" si="17"/>
        <v>182</v>
      </c>
      <c r="E55" s="40">
        <f t="shared" si="11"/>
        <v>240</v>
      </c>
      <c r="F55" s="3"/>
      <c r="G55" s="3"/>
      <c r="H55" s="3"/>
      <c r="I55" s="3"/>
      <c r="J55" s="3"/>
    </row>
    <row r="56" ht="15.75" customHeight="1">
      <c r="A56" s="3"/>
      <c r="B56" s="43">
        <v>18.0</v>
      </c>
      <c r="C56" s="40">
        <f t="shared" ref="C56:D56" si="18">C$47+$B56*C$20</f>
        <v>150</v>
      </c>
      <c r="D56" s="40">
        <f t="shared" si="18"/>
        <v>195</v>
      </c>
      <c r="E56" s="40">
        <f t="shared" si="11"/>
        <v>270</v>
      </c>
      <c r="F56" s="3"/>
      <c r="G56" s="3"/>
      <c r="H56" s="3"/>
      <c r="I56" s="3"/>
      <c r="J56" s="3"/>
    </row>
    <row r="57" ht="15.75" customHeight="1">
      <c r="A57" s="3"/>
      <c r="B57" s="44">
        <v>20.0</v>
      </c>
      <c r="C57" s="40">
        <f t="shared" ref="C57:D57" si="19">C$47+$B57*C$20</f>
        <v>160</v>
      </c>
      <c r="D57" s="40">
        <f t="shared" si="19"/>
        <v>208</v>
      </c>
      <c r="E57" s="40">
        <f t="shared" si="11"/>
        <v>300</v>
      </c>
      <c r="F57" s="3"/>
      <c r="G57" s="3"/>
      <c r="H57" s="3"/>
      <c r="I57" s="3"/>
      <c r="J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ht="15.75" customHeight="1">
      <c r="A59" s="3"/>
      <c r="B59" s="36" t="s">
        <v>41</v>
      </c>
      <c r="G59" s="3"/>
      <c r="H59" s="3"/>
      <c r="I59" s="3"/>
      <c r="J59" s="3"/>
    </row>
    <row r="60" ht="15.75" customHeight="1">
      <c r="A60" s="3"/>
      <c r="B60" s="37"/>
      <c r="C60" s="37"/>
      <c r="D60" s="39"/>
      <c r="E60" s="39"/>
      <c r="G60" s="3"/>
      <c r="H60" s="3"/>
      <c r="I60" s="3"/>
      <c r="J60" s="3"/>
    </row>
    <row r="61" ht="15.75" customHeight="1">
      <c r="A61" s="3"/>
      <c r="B61" s="37" t="s">
        <v>40</v>
      </c>
      <c r="C61" s="37" t="s">
        <v>18</v>
      </c>
      <c r="D61" s="39" t="s">
        <v>19</v>
      </c>
      <c r="E61" s="39" t="s">
        <v>20</v>
      </c>
      <c r="G61" s="3"/>
      <c r="H61" s="3"/>
      <c r="I61" s="3"/>
      <c r="J61" s="3"/>
    </row>
    <row r="62" ht="15.75" customHeight="1">
      <c r="A62" s="3"/>
      <c r="B62" s="38">
        <v>0.0</v>
      </c>
      <c r="C62" s="40">
        <f t="shared" ref="C62:E62" si="20">$B62*$B$9/C47/44/$B$12*10^6+$B$7</f>
        <v>400</v>
      </c>
      <c r="D62" s="40">
        <f t="shared" si="20"/>
        <v>400</v>
      </c>
      <c r="E62" s="40">
        <f t="shared" si="20"/>
        <v>400</v>
      </c>
      <c r="F62" s="3"/>
      <c r="G62" s="3"/>
      <c r="H62" s="3"/>
      <c r="I62" s="3"/>
      <c r="J62" s="3"/>
    </row>
    <row r="63" ht="15.75" customHeight="1">
      <c r="A63" s="3"/>
      <c r="B63" s="38">
        <v>2.0</v>
      </c>
      <c r="C63" s="40">
        <f t="shared" ref="C63:E63" si="21">$B63*$B$9/C48/44/$B$12*10^6+$B$7</f>
        <v>675.6202135</v>
      </c>
      <c r="D63" s="40">
        <f t="shared" si="21"/>
        <v>612.0155489</v>
      </c>
      <c r="E63" s="40">
        <f t="shared" si="21"/>
        <v>528.6227663</v>
      </c>
      <c r="F63" s="3"/>
      <c r="G63" s="3"/>
      <c r="H63" s="3"/>
      <c r="I63" s="3"/>
      <c r="J63" s="3"/>
    </row>
    <row r="64" ht="15.75" customHeight="1">
      <c r="A64" s="3"/>
      <c r="B64" s="43">
        <v>5.0</v>
      </c>
      <c r="C64" s="40">
        <f t="shared" ref="C64:E64" si="22">$B64*$B$9/C49/44/$B$12*10^6+$B$7</f>
        <v>967.4533808</v>
      </c>
      <c r="D64" s="40">
        <f t="shared" si="22"/>
        <v>836.5026006</v>
      </c>
      <c r="E64" s="40">
        <f t="shared" si="22"/>
        <v>721.5569158</v>
      </c>
      <c r="G64" s="3"/>
      <c r="H64" s="3"/>
      <c r="I64" s="3"/>
      <c r="J64" s="3"/>
    </row>
    <row r="65" ht="15.75" customHeight="1">
      <c r="A65" s="3"/>
      <c r="B65" s="43">
        <v>6.0</v>
      </c>
      <c r="C65" s="40">
        <f t="shared" ref="C65:E65" si="23">$B65*$B$9/C50/44/$B$12*10^6+$B$7</f>
        <v>1043.113832</v>
      </c>
      <c r="D65" s="40">
        <f t="shared" si="23"/>
        <v>894.7029474</v>
      </c>
      <c r="E65" s="40">
        <f t="shared" si="23"/>
        <v>785.868299</v>
      </c>
      <c r="F65" s="3"/>
      <c r="G65" s="3"/>
      <c r="H65" s="3"/>
      <c r="I65" s="3"/>
      <c r="J65" s="3"/>
    </row>
    <row r="66" ht="15.75" customHeight="1">
      <c r="A66" s="3"/>
      <c r="B66" s="43">
        <v>8.0</v>
      </c>
      <c r="C66" s="40">
        <f t="shared" ref="C66:E66" si="24">$B66*$B$9/C51/44/$B$12*10^6+$B$7</f>
        <v>1171.736598</v>
      </c>
      <c r="D66" s="40">
        <f t="shared" si="24"/>
        <v>993.6435369</v>
      </c>
      <c r="E66" s="40">
        <f t="shared" si="24"/>
        <v>914.4910653</v>
      </c>
      <c r="F66" s="3"/>
      <c r="G66" s="3"/>
      <c r="H66" s="3"/>
      <c r="I66" s="3"/>
      <c r="J66" s="3"/>
    </row>
    <row r="67" ht="15.75" customHeight="1">
      <c r="A67" s="3"/>
      <c r="B67" s="43">
        <v>10.0</v>
      </c>
      <c r="C67" s="40">
        <f t="shared" ref="C67:E67" si="25">$B67*$B$9/C52/44/$B$12*10^6+$B$7</f>
        <v>1276.973407</v>
      </c>
      <c r="D67" s="40">
        <f t="shared" si="25"/>
        <v>1074.594928</v>
      </c>
      <c r="E67" s="40">
        <f t="shared" si="25"/>
        <v>1043.113832</v>
      </c>
      <c r="F67" s="3"/>
      <c r="G67" s="3"/>
      <c r="H67" s="3"/>
      <c r="I67" s="3"/>
      <c r="J67" s="3"/>
    </row>
    <row r="68" ht="15.75" customHeight="1">
      <c r="A68" s="3"/>
      <c r="B68" s="38">
        <v>12.0</v>
      </c>
      <c r="C68" s="40">
        <f t="shared" ref="C68:E68" si="26">$B68*$B$9/C53/44/$B$12*10^6+$B$7</f>
        <v>1364.670747</v>
      </c>
      <c r="D68" s="40">
        <f t="shared" si="26"/>
        <v>1142.054421</v>
      </c>
      <c r="E68" s="40">
        <f t="shared" si="26"/>
        <v>1043.113832</v>
      </c>
      <c r="F68" s="3"/>
      <c r="G68" s="3"/>
      <c r="H68" s="3"/>
      <c r="I68" s="3"/>
      <c r="J68" s="3"/>
    </row>
    <row r="69" ht="15.75" customHeight="1">
      <c r="A69" s="3"/>
      <c r="B69" s="43">
        <v>14.0</v>
      </c>
      <c r="C69" s="40">
        <f t="shared" ref="C69:E69" si="27">$B69*$B$9/C54/44/$B$12*10^6+$B$7</f>
        <v>1438.87619</v>
      </c>
      <c r="D69" s="40">
        <f t="shared" si="27"/>
        <v>1199.13553</v>
      </c>
      <c r="E69" s="40">
        <f t="shared" si="27"/>
        <v>1043.113832</v>
      </c>
      <c r="F69" s="3"/>
      <c r="G69" s="3"/>
      <c r="H69" s="3"/>
      <c r="I69" s="3"/>
      <c r="J69" s="3"/>
    </row>
    <row r="70" ht="15.75" customHeight="1">
      <c r="A70" s="3"/>
      <c r="B70" s="43">
        <v>16.0</v>
      </c>
      <c r="C70" s="40">
        <f t="shared" ref="C70:E70" si="28">$B70*$B$9/C55/44/$B$12*10^6+$B$7</f>
        <v>1502.480854</v>
      </c>
      <c r="D70" s="40">
        <f t="shared" si="28"/>
        <v>1248.062196</v>
      </c>
      <c r="E70" s="40">
        <f t="shared" si="28"/>
        <v>1043.113832</v>
      </c>
      <c r="F70" s="3"/>
      <c r="G70" s="3"/>
      <c r="H70" s="3"/>
      <c r="I70" s="3"/>
      <c r="J70" s="3"/>
    </row>
    <row r="71" ht="15.75" customHeight="1">
      <c r="A71" s="3"/>
      <c r="B71" s="43">
        <v>18.0</v>
      </c>
      <c r="C71" s="40">
        <f t="shared" ref="C71:E71" si="29">$B71*$B$9/C56/44/$B$12*10^6+$B$7</f>
        <v>1557.604897</v>
      </c>
      <c r="D71" s="40">
        <f t="shared" si="29"/>
        <v>1290.465305</v>
      </c>
      <c r="E71" s="40">
        <f t="shared" si="29"/>
        <v>1043.113832</v>
      </c>
      <c r="F71" s="3"/>
      <c r="G71" s="3"/>
      <c r="H71" s="3"/>
      <c r="I71" s="3"/>
      <c r="J71" s="3"/>
    </row>
    <row r="72" ht="15.75" customHeight="1">
      <c r="A72" s="3"/>
      <c r="B72" s="44">
        <v>20.0</v>
      </c>
      <c r="C72" s="40">
        <f t="shared" ref="C72:E72" si="30">$B72*$B$9/C57/44/$B$12*10^6+$B$7</f>
        <v>1605.838434</v>
      </c>
      <c r="D72" s="40">
        <f t="shared" si="30"/>
        <v>1327.568026</v>
      </c>
      <c r="E72" s="40">
        <f t="shared" si="30"/>
        <v>1043.113832</v>
      </c>
      <c r="F72" s="3"/>
      <c r="G72" s="3"/>
      <c r="H72" s="3"/>
      <c r="I72" s="3"/>
      <c r="J72" s="3"/>
    </row>
    <row r="73" ht="15.75" customHeight="1">
      <c r="A73" s="3"/>
      <c r="B73" s="3"/>
      <c r="C73" s="3"/>
      <c r="D73" s="3"/>
      <c r="E73" s="3"/>
      <c r="F73" s="26" t="s">
        <v>42</v>
      </c>
      <c r="G73" s="3"/>
      <c r="H73" s="3"/>
      <c r="I73" s="3"/>
      <c r="J73" s="3"/>
    </row>
    <row r="74" ht="15.75" customHeight="1">
      <c r="A74" s="3"/>
      <c r="B74" s="36" t="s">
        <v>43</v>
      </c>
      <c r="F74" s="3"/>
      <c r="G74" s="3"/>
      <c r="H74" s="3"/>
      <c r="I74" s="3"/>
      <c r="J74" s="3"/>
    </row>
    <row r="75" ht="15.75" customHeight="1">
      <c r="A75" s="3"/>
      <c r="B75" s="46" t="s">
        <v>37</v>
      </c>
      <c r="C75" s="46" t="s">
        <v>18</v>
      </c>
      <c r="D75" s="36" t="s">
        <v>19</v>
      </c>
      <c r="E75" s="36" t="s">
        <v>20</v>
      </c>
      <c r="F75" s="3"/>
      <c r="G75" s="3"/>
      <c r="H75" s="3"/>
      <c r="I75" s="3"/>
      <c r="J75" s="3"/>
      <c r="M75" s="47"/>
    </row>
    <row r="76" ht="15.75" customHeight="1">
      <c r="A76" s="3"/>
      <c r="B76" s="38">
        <v>0.0</v>
      </c>
      <c r="C76" s="40">
        <f t="shared" ref="C76:C86" si="31">$B76*$B$9/Vlookup($B$16,$B$47:$E$57,2,false)/44/$B$12*10^6+$B$7</f>
        <v>400</v>
      </c>
      <c r="D76" s="40">
        <f t="shared" ref="D76:D86" si="32">$B76*$B$9/Vlookup($B$16,$B$47:$E$57,3,false)/44/$B$12*10^6+$B$7</f>
        <v>400</v>
      </c>
      <c r="E76" s="40">
        <f t="shared" ref="E76:E86" si="33">$B76*$B$9/Vlookup($B$16,$B$47:$E$57,4,false)/44/$B$12*10^6+$B$7</f>
        <v>400</v>
      </c>
      <c r="F76" s="3"/>
      <c r="G76" s="3"/>
      <c r="H76" s="3"/>
      <c r="I76" s="3"/>
      <c r="J76" s="3"/>
      <c r="M76" s="47"/>
    </row>
    <row r="77" ht="15.75" customHeight="1">
      <c r="A77" s="3"/>
      <c r="B77" s="38">
        <v>2.0</v>
      </c>
      <c r="C77" s="40">
        <f t="shared" si="31"/>
        <v>626.9813523</v>
      </c>
      <c r="D77" s="40">
        <f t="shared" si="32"/>
        <v>574.6010403</v>
      </c>
      <c r="E77" s="40">
        <f t="shared" si="33"/>
        <v>528.6227663</v>
      </c>
      <c r="F77" s="3"/>
      <c r="G77" s="3"/>
      <c r="H77" s="3"/>
      <c r="I77" s="3"/>
      <c r="J77" s="3"/>
      <c r="M77" s="48"/>
    </row>
    <row r="78" ht="15.75" customHeight="1">
      <c r="A78" s="3"/>
      <c r="B78" s="43">
        <v>5.0</v>
      </c>
      <c r="C78" s="40">
        <f t="shared" si="31"/>
        <v>967.4533808</v>
      </c>
      <c r="D78" s="40">
        <f t="shared" si="32"/>
        <v>836.5026006</v>
      </c>
      <c r="E78" s="40">
        <f t="shared" si="33"/>
        <v>721.5569158</v>
      </c>
      <c r="F78" s="3"/>
      <c r="G78" s="3"/>
      <c r="H78" s="3"/>
      <c r="I78" s="3"/>
      <c r="J78" s="3"/>
    </row>
    <row r="79" ht="15.75" customHeight="1">
      <c r="A79" s="3"/>
      <c r="B79" s="43">
        <v>6.0</v>
      </c>
      <c r="C79" s="40">
        <f t="shared" si="31"/>
        <v>1080.944057</v>
      </c>
      <c r="D79" s="40">
        <f t="shared" si="32"/>
        <v>923.8031208</v>
      </c>
      <c r="E79" s="40">
        <f t="shared" si="33"/>
        <v>785.868299</v>
      </c>
      <c r="F79" s="3"/>
      <c r="G79" s="3"/>
      <c r="H79" s="3"/>
      <c r="I79" s="3"/>
      <c r="J79" s="3"/>
    </row>
    <row r="80" ht="15.75" customHeight="1">
      <c r="A80" s="3"/>
      <c r="B80" s="43">
        <v>8.0</v>
      </c>
      <c r="C80" s="40">
        <f t="shared" si="31"/>
        <v>1307.925409</v>
      </c>
      <c r="D80" s="40">
        <f t="shared" si="32"/>
        <v>1098.404161</v>
      </c>
      <c r="E80" s="40">
        <f t="shared" si="33"/>
        <v>914.4910653</v>
      </c>
      <c r="F80" s="3"/>
      <c r="G80" s="3"/>
      <c r="H80" s="3"/>
      <c r="I80" s="3"/>
      <c r="J80" s="3"/>
    </row>
    <row r="81" ht="15.75" customHeight="1">
      <c r="A81" s="3"/>
      <c r="B81" s="43">
        <v>10.0</v>
      </c>
      <c r="C81" s="40">
        <f t="shared" si="31"/>
        <v>1534.906762</v>
      </c>
      <c r="D81" s="40">
        <f t="shared" si="32"/>
        <v>1273.005201</v>
      </c>
      <c r="E81" s="40">
        <f t="shared" si="33"/>
        <v>1043.113832</v>
      </c>
      <c r="F81" s="3"/>
      <c r="G81" s="3"/>
      <c r="H81" s="3"/>
      <c r="I81" s="3"/>
      <c r="J81" s="3"/>
    </row>
    <row r="82" ht="15.75" customHeight="1">
      <c r="A82" s="3"/>
      <c r="B82" s="38">
        <v>12.0</v>
      </c>
      <c r="C82" s="40">
        <f t="shared" si="31"/>
        <v>1761.888114</v>
      </c>
      <c r="D82" s="40">
        <f t="shared" si="32"/>
        <v>1447.606242</v>
      </c>
      <c r="E82" s="40">
        <f t="shared" si="33"/>
        <v>1171.736598</v>
      </c>
      <c r="F82" s="3"/>
      <c r="G82" s="3"/>
      <c r="H82" s="3"/>
      <c r="I82" s="3"/>
      <c r="J82" s="3"/>
    </row>
    <row r="83" ht="15.75" customHeight="1">
      <c r="A83" s="3"/>
      <c r="B83" s="43">
        <v>14.0</v>
      </c>
      <c r="C83" s="40">
        <f t="shared" si="31"/>
        <v>1988.869466</v>
      </c>
      <c r="D83" s="40">
        <f t="shared" si="32"/>
        <v>1622.207282</v>
      </c>
      <c r="E83" s="40">
        <f t="shared" si="33"/>
        <v>1300.359364</v>
      </c>
      <c r="F83" s="3"/>
      <c r="G83" s="3"/>
      <c r="H83" s="3"/>
      <c r="I83" s="3"/>
      <c r="J83" s="3"/>
    </row>
    <row r="84" ht="15.75" customHeight="1">
      <c r="A84" s="3"/>
      <c r="B84" s="43">
        <v>16.0</v>
      </c>
      <c r="C84" s="40">
        <f t="shared" si="31"/>
        <v>2215.850819</v>
      </c>
      <c r="D84" s="40">
        <f t="shared" si="32"/>
        <v>1796.808322</v>
      </c>
      <c r="E84" s="40">
        <f t="shared" si="33"/>
        <v>1428.982131</v>
      </c>
      <c r="F84" s="3"/>
      <c r="G84" s="3"/>
      <c r="H84" s="3"/>
      <c r="I84" s="3"/>
      <c r="J84" s="3"/>
    </row>
    <row r="85" ht="15.75" customHeight="1">
      <c r="A85" s="3"/>
      <c r="B85" s="43">
        <v>18.0</v>
      </c>
      <c r="C85" s="40">
        <f t="shared" si="31"/>
        <v>2442.832171</v>
      </c>
      <c r="D85" s="40">
        <f t="shared" si="32"/>
        <v>1971.409362</v>
      </c>
      <c r="E85" s="40">
        <f t="shared" si="33"/>
        <v>1557.604897</v>
      </c>
      <c r="F85" s="3"/>
      <c r="G85" s="3"/>
      <c r="H85" s="3"/>
      <c r="I85" s="3"/>
      <c r="J85" s="3"/>
    </row>
    <row r="86" ht="15.75" customHeight="1">
      <c r="A86" s="3"/>
      <c r="B86" s="44">
        <v>20.0</v>
      </c>
      <c r="C86" s="40">
        <f t="shared" si="31"/>
        <v>2669.813523</v>
      </c>
      <c r="D86" s="40">
        <f t="shared" si="32"/>
        <v>2146.010403</v>
      </c>
      <c r="E86" s="40">
        <f t="shared" si="33"/>
        <v>1686.227663</v>
      </c>
      <c r="F86" s="3"/>
      <c r="G86" s="3"/>
      <c r="H86" s="3"/>
      <c r="I86" s="3"/>
      <c r="J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B44:E44"/>
    <mergeCell ref="B59:E59"/>
    <mergeCell ref="B74:E74"/>
  </mergeCell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8.56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